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7dd2593dd071a70e/Escritorio/Blast/ACR/GEAR ACR/Curso de Contabilidad e Impuestos Mensuales/"/>
    </mc:Choice>
  </mc:AlternateContent>
  <xr:revisionPtr revIDLastSave="3493" documentId="8_{4FD8A3AB-067C-4267-9C4A-39BB206EC843}" xr6:coauthVersionLast="47" xr6:coauthVersionMax="47" xr10:uidLastSave="{3AF27AD1-3C93-4B9B-ACE6-F47FB9954595}"/>
  <bookViews>
    <workbookView xWindow="-120" yWindow="-120" windowWidth="29040" windowHeight="15720" tabRatio="827" activeTab="11" xr2:uid="{00000000-000D-0000-FFFF-FFFF00000000}"/>
  </bookViews>
  <sheets>
    <sheet name="Inversión" sheetId="7" r:id="rId1"/>
    <sheet name="Gastos Fijos" sheetId="12" r:id="rId2"/>
    <sheet name="Mercaderia" sheetId="11" r:id="rId3"/>
    <sheet name="Activos" sheetId="9" r:id="rId4"/>
    <sheet name="Remus" sheetId="8" r:id="rId5"/>
    <sheet name="Honorarios" sheetId="10" r:id="rId6"/>
    <sheet name="Costo Prod 1" sheetId="2" r:id="rId7"/>
    <sheet name="Costo Prod 2" sheetId="13" r:id="rId8"/>
    <sheet name="Costos Consolidado" sheetId="6" r:id="rId9"/>
    <sheet name="PE" sheetId="4" r:id="rId10"/>
    <sheet name="Cash Flow" sheetId="14" r:id="rId11"/>
    <sheet name="Cash Flow (2)" sheetId="1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11.150">[1]INDICE!#REF!</definedName>
    <definedName name="_13.025">[1]INDICE!#REF!</definedName>
    <definedName name="_13.027">[1]INDICE!#REF!</definedName>
    <definedName name="_13.040">[1]INDICE!#REF!</definedName>
    <definedName name="_13.070">[1]INDICE!#REF!</definedName>
    <definedName name="_13.080">[1]INDICE!#REF!</definedName>
    <definedName name="_21.100">[1]INDICE!#REF!</definedName>
    <definedName name="_57.000">[2]INDICE!$C$77</definedName>
    <definedName name="A_impresión_IM">#REF!</definedName>
    <definedName name="Afij.2">#REF!</definedName>
    <definedName name="AL_30_11_2000">#REF!</definedName>
    <definedName name="Ant.2">#REF!</definedName>
    <definedName name="Ant.3">#REF!</definedName>
    <definedName name="Banco_10">#REF!</definedName>
    <definedName name="Banco_11">#REF!</definedName>
    <definedName name="Banco_12">#REF!</definedName>
    <definedName name="Banco_13">#REF!</definedName>
    <definedName name="Banco_14">#REF!</definedName>
    <definedName name="Banco_6">#REF!</definedName>
    <definedName name="Banco_7">#REF!</definedName>
    <definedName name="Banco_8">#REF!</definedName>
    <definedName name="BC">[3]Indicadores!#REF!</definedName>
    <definedName name="BG">[1]INDICE!#REF!</definedName>
    <definedName name="CINTRA_CHILE_LTDA.">[1]INDICE!#REF!</definedName>
    <definedName name="Corr.1">[4]PARAMETRO!$C$57</definedName>
    <definedName name="Cta.10">#REF!</definedName>
    <definedName name="Cta.11">#REF!</definedName>
    <definedName name="Cta.12">#REF!</definedName>
    <definedName name="Cta.13">#REF!</definedName>
    <definedName name="Cta.14">#REF!</definedName>
    <definedName name="Cta.6">#REF!</definedName>
    <definedName name="Cta.7">#REF!</definedName>
    <definedName name="Cta.8">#REF!</definedName>
    <definedName name="Empresa">[2]INDICE!$C$2</definedName>
    <definedName name="ER">[3]Indicadores!#REF!</definedName>
    <definedName name="FD">[3]Indicadores!#REF!</definedName>
    <definedName name="Fecha">[2]INDICE!$C$3</definedName>
    <definedName name="FF">[1]INDICE!#REF!</definedName>
    <definedName name="FIJO_A">[5]Indice!$A$1:$A$4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G">[3]Indicadores!#REF!</definedName>
    <definedName name="Imp.1">#REF!</definedName>
    <definedName name="Imp.2">#REF!</definedName>
    <definedName name="Inv.3">#REF!</definedName>
    <definedName name="Mes">#REF!</definedName>
    <definedName name="NB">[3]Indicadores!#REF!</definedName>
    <definedName name="Pag._23">#REF!</definedName>
    <definedName name="pag_gtosind">#REF!</definedName>
    <definedName name="pag_pyg">#REF!</definedName>
    <definedName name="Pas.1">#REF!</definedName>
    <definedName name="Pas.10">[4]PARAMETRO!#REF!</definedName>
    <definedName name="Pas.2">#REF!</definedName>
    <definedName name="Pas.4">#REF!</definedName>
    <definedName name="Pas.5">#REF!</definedName>
    <definedName name="SEGUROS">[6]INDICE!#REF!</definedName>
    <definedName name="SS">[3]Indicadores!#REF!</definedName>
    <definedName name="TR">[3]Indicadores!#REF!</definedName>
    <definedName name="TT">[3]Indicadores!#REF!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4" l="1"/>
  <c r="F53" i="14"/>
  <c r="O55" i="16"/>
  <c r="N55" i="16"/>
  <c r="M55" i="16"/>
  <c r="L55" i="16"/>
  <c r="K55" i="16"/>
  <c r="J55" i="16"/>
  <c r="I55" i="16"/>
  <c r="H55" i="16"/>
  <c r="G55" i="16"/>
  <c r="F55" i="16"/>
  <c r="E55" i="16"/>
  <c r="D55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F39" i="16"/>
  <c r="F38" i="16"/>
  <c r="F37" i="16"/>
  <c r="F36" i="16"/>
  <c r="F35" i="16"/>
  <c r="D42" i="16"/>
  <c r="D41" i="16"/>
  <c r="E38" i="16"/>
  <c r="E36" i="16"/>
  <c r="D35" i="16"/>
  <c r="D40" i="16"/>
  <c r="D39" i="16"/>
  <c r="D38" i="16"/>
  <c r="D37" i="16"/>
  <c r="D36" i="16"/>
  <c r="D13" i="16"/>
  <c r="P61" i="16"/>
  <c r="C60" i="16"/>
  <c r="C66" i="16" s="1"/>
  <c r="F42" i="16"/>
  <c r="G42" i="16" s="1"/>
  <c r="H42" i="16" s="1"/>
  <c r="I42" i="16" s="1"/>
  <c r="J42" i="16" s="1"/>
  <c r="K42" i="16" s="1"/>
  <c r="L42" i="16" s="1"/>
  <c r="M42" i="16" s="1"/>
  <c r="N42" i="16" s="1"/>
  <c r="O42" i="16" s="1"/>
  <c r="B42" i="16"/>
  <c r="F41" i="16"/>
  <c r="G41" i="16" s="1"/>
  <c r="H41" i="16" s="1"/>
  <c r="I41" i="16" s="1"/>
  <c r="J41" i="16" s="1"/>
  <c r="K41" i="16" s="1"/>
  <c r="L41" i="16" s="1"/>
  <c r="M41" i="16" s="1"/>
  <c r="N41" i="16" s="1"/>
  <c r="O41" i="16" s="1"/>
  <c r="B41" i="16"/>
  <c r="F40" i="16"/>
  <c r="B40" i="16"/>
  <c r="B39" i="16"/>
  <c r="B38" i="16"/>
  <c r="B37" i="16"/>
  <c r="B36" i="16"/>
  <c r="B35" i="16"/>
  <c r="F27" i="16"/>
  <c r="G27" i="16" s="1"/>
  <c r="H27" i="16" s="1"/>
  <c r="I27" i="16" s="1"/>
  <c r="J27" i="16" s="1"/>
  <c r="K27" i="16" s="1"/>
  <c r="L27" i="16" s="1"/>
  <c r="M27" i="16" s="1"/>
  <c r="N27" i="16" s="1"/>
  <c r="O27" i="16" s="1"/>
  <c r="B27" i="16"/>
  <c r="D17" i="16"/>
  <c r="E17" i="16" s="1"/>
  <c r="E27" i="16" s="1"/>
  <c r="D15" i="16"/>
  <c r="E15" i="16" s="1"/>
  <c r="D14" i="16"/>
  <c r="E14" i="16" s="1"/>
  <c r="E12" i="16"/>
  <c r="E40" i="16" s="1"/>
  <c r="D12" i="16"/>
  <c r="G10" i="16"/>
  <c r="H10" i="16" s="1"/>
  <c r="I10" i="16" s="1"/>
  <c r="D21" i="14"/>
  <c r="O10" i="14"/>
  <c r="N10" i="14"/>
  <c r="K10" i="14"/>
  <c r="L10" i="14"/>
  <c r="J10" i="14"/>
  <c r="I10" i="14"/>
  <c r="H10" i="14"/>
  <c r="G10" i="14"/>
  <c r="F26" i="4"/>
  <c r="H16" i="6"/>
  <c r="H33" i="6"/>
  <c r="H32" i="6"/>
  <c r="O38" i="10"/>
  <c r="R16" i="10"/>
  <c r="R14" i="10"/>
  <c r="R8" i="10"/>
  <c r="O8" i="10"/>
  <c r="M33" i="8"/>
  <c r="M34" i="8" s="1"/>
  <c r="M31" i="8"/>
  <c r="AC12" i="9"/>
  <c r="AC11" i="9"/>
  <c r="AC10" i="9"/>
  <c r="AC9" i="9"/>
  <c r="AC8" i="9"/>
  <c r="AC7" i="9"/>
  <c r="E35" i="16" l="1"/>
  <c r="G38" i="16"/>
  <c r="H38" i="16" s="1"/>
  <c r="I38" i="16" s="1"/>
  <c r="E41" i="16"/>
  <c r="G39" i="16"/>
  <c r="H39" i="16" s="1"/>
  <c r="I39" i="16" s="1"/>
  <c r="E42" i="16"/>
  <c r="P42" i="16" s="1"/>
  <c r="Q42" i="16" s="1"/>
  <c r="R42" i="16" s="1"/>
  <c r="F12" i="16"/>
  <c r="G12" i="16" s="1"/>
  <c r="H12" i="16" s="1"/>
  <c r="I12" i="16" s="1"/>
  <c r="D21" i="16"/>
  <c r="E37" i="16"/>
  <c r="E39" i="16"/>
  <c r="G36" i="16"/>
  <c r="H36" i="16" s="1"/>
  <c r="I36" i="16" s="1"/>
  <c r="G40" i="16"/>
  <c r="G35" i="16"/>
  <c r="G37" i="16"/>
  <c r="H37" i="16" s="1"/>
  <c r="I37" i="16" s="1"/>
  <c r="F45" i="16"/>
  <c r="F46" i="16" s="1"/>
  <c r="D45" i="16"/>
  <c r="D46" i="16" s="1"/>
  <c r="E13" i="16"/>
  <c r="E21" i="16" s="1"/>
  <c r="E24" i="16" s="1"/>
  <c r="F15" i="16"/>
  <c r="G15" i="16" s="1"/>
  <c r="H15" i="16" s="1"/>
  <c r="I15" i="16" s="1"/>
  <c r="J15" i="16" s="1"/>
  <c r="K15" i="16" s="1"/>
  <c r="L15" i="16" s="1"/>
  <c r="M15" i="16" s="1"/>
  <c r="N15" i="16" s="1"/>
  <c r="O15" i="16" s="1"/>
  <c r="J10" i="16"/>
  <c r="K10" i="16" s="1"/>
  <c r="O10" i="16"/>
  <c r="L10" i="16"/>
  <c r="M10" i="16" s="1"/>
  <c r="N10" i="16" s="1"/>
  <c r="F14" i="16"/>
  <c r="E26" i="16"/>
  <c r="E30" i="16" s="1"/>
  <c r="D67" i="16"/>
  <c r="C78" i="16"/>
  <c r="H40" i="16"/>
  <c r="I40" i="16" s="1"/>
  <c r="D26" i="16"/>
  <c r="D27" i="16"/>
  <c r="P27" i="16" s="1"/>
  <c r="Q27" i="16" s="1"/>
  <c r="R27" i="16" s="1"/>
  <c r="P41" i="16"/>
  <c r="Q41" i="16" s="1"/>
  <c r="R41" i="16" s="1"/>
  <c r="M10" i="14"/>
  <c r="A26" i="12"/>
  <c r="F42" i="14"/>
  <c r="F41" i="14"/>
  <c r="G41" i="14" s="1"/>
  <c r="H41" i="14" s="1"/>
  <c r="I41" i="14" s="1"/>
  <c r="J41" i="14" s="1"/>
  <c r="K41" i="14" s="1"/>
  <c r="L41" i="14" s="1"/>
  <c r="M41" i="14" s="1"/>
  <c r="N41" i="14" s="1"/>
  <c r="O41" i="14" s="1"/>
  <c r="F40" i="14"/>
  <c r="F39" i="14"/>
  <c r="F38" i="14"/>
  <c r="F37" i="14"/>
  <c r="F36" i="14"/>
  <c r="G36" i="14" s="1"/>
  <c r="H36" i="14" s="1"/>
  <c r="I36" i="14" s="1"/>
  <c r="J36" i="14" s="1"/>
  <c r="K36" i="14" s="1"/>
  <c r="F35" i="14"/>
  <c r="F27" i="14"/>
  <c r="AA12" i="9"/>
  <c r="AA11" i="9"/>
  <c r="AA10" i="9"/>
  <c r="AA9" i="9"/>
  <c r="AA8" i="9"/>
  <c r="AA7" i="9"/>
  <c r="B40" i="14"/>
  <c r="B39" i="14"/>
  <c r="B38" i="14"/>
  <c r="B37" i="14"/>
  <c r="B36" i="14"/>
  <c r="B35" i="14"/>
  <c r="AB7" i="9"/>
  <c r="J19" i="9"/>
  <c r="I7" i="9"/>
  <c r="L7" i="9"/>
  <c r="I24" i="9"/>
  <c r="I23" i="9"/>
  <c r="I22" i="9"/>
  <c r="I21" i="9"/>
  <c r="I20" i="9"/>
  <c r="H24" i="9"/>
  <c r="H23" i="9"/>
  <c r="H22" i="9"/>
  <c r="H21" i="9"/>
  <c r="H20" i="9"/>
  <c r="G24" i="9"/>
  <c r="G23" i="9"/>
  <c r="G22" i="9"/>
  <c r="G21" i="9"/>
  <c r="G20" i="9"/>
  <c r="G19" i="9"/>
  <c r="F24" i="9"/>
  <c r="F23" i="9"/>
  <c r="F22" i="9"/>
  <c r="F21" i="9"/>
  <c r="F20" i="9"/>
  <c r="F19" i="9"/>
  <c r="D24" i="9"/>
  <c r="D23" i="9"/>
  <c r="D22" i="9"/>
  <c r="D21" i="9"/>
  <c r="D20" i="9"/>
  <c r="D19" i="9"/>
  <c r="E24" i="9"/>
  <c r="E23" i="9"/>
  <c r="E22" i="9"/>
  <c r="E21" i="9"/>
  <c r="E20" i="9"/>
  <c r="E19" i="9"/>
  <c r="A23" i="9"/>
  <c r="A22" i="9"/>
  <c r="A21" i="9"/>
  <c r="A20" i="9"/>
  <c r="E44" i="6"/>
  <c r="B43" i="6"/>
  <c r="B41" i="14" s="1"/>
  <c r="B42" i="6"/>
  <c r="B41" i="6"/>
  <c r="B40" i="6"/>
  <c r="B39" i="6"/>
  <c r="B38" i="6"/>
  <c r="I38" i="13"/>
  <c r="I37" i="13"/>
  <c r="I36" i="13"/>
  <c r="I35" i="13"/>
  <c r="I34" i="13"/>
  <c r="I33" i="13"/>
  <c r="I32" i="13"/>
  <c r="C11" i="13"/>
  <c r="C11" i="2"/>
  <c r="L39" i="13"/>
  <c r="K39" i="13"/>
  <c r="A27" i="12"/>
  <c r="B26" i="12"/>
  <c r="B25" i="12"/>
  <c r="B24" i="12"/>
  <c r="B23" i="12"/>
  <c r="B22" i="12"/>
  <c r="B21" i="12"/>
  <c r="A25" i="12"/>
  <c r="A24" i="12"/>
  <c r="A23" i="12"/>
  <c r="A22" i="12"/>
  <c r="A21" i="12"/>
  <c r="K39" i="2"/>
  <c r="L39" i="2" s="1"/>
  <c r="D44" i="6" s="1"/>
  <c r="P41" i="8"/>
  <c r="I39" i="2"/>
  <c r="I39" i="13" s="1"/>
  <c r="P36" i="8"/>
  <c r="I47" i="8"/>
  <c r="M36" i="8"/>
  <c r="P11" i="8"/>
  <c r="S10" i="8"/>
  <c r="R10" i="8"/>
  <c r="R11" i="8"/>
  <c r="O11" i="8"/>
  <c r="E11" i="8"/>
  <c r="D11" i="8"/>
  <c r="G45" i="16" l="1"/>
  <c r="G46" i="16" s="1"/>
  <c r="J12" i="16"/>
  <c r="K12" i="16" s="1"/>
  <c r="L12" i="16" s="1"/>
  <c r="M12" i="16" s="1"/>
  <c r="N12" i="16" s="1"/>
  <c r="O12" i="16" s="1"/>
  <c r="H35" i="16"/>
  <c r="J39" i="16"/>
  <c r="K39" i="16" s="1"/>
  <c r="L39" i="16" s="1"/>
  <c r="M39" i="16" s="1"/>
  <c r="N39" i="16" s="1"/>
  <c r="O39" i="16" s="1"/>
  <c r="E32" i="16"/>
  <c r="F13" i="16"/>
  <c r="F21" i="16" s="1"/>
  <c r="F24" i="16" s="1"/>
  <c r="D24" i="16"/>
  <c r="J40" i="16"/>
  <c r="K40" i="16" s="1"/>
  <c r="L40" i="16" s="1"/>
  <c r="M40" i="16" s="1"/>
  <c r="N40" i="16" s="1"/>
  <c r="O40" i="16" s="1"/>
  <c r="I35" i="16"/>
  <c r="H45" i="16"/>
  <c r="H46" i="16" s="1"/>
  <c r="E45" i="16"/>
  <c r="E46" i="16" s="1"/>
  <c r="J37" i="16"/>
  <c r="J38" i="16"/>
  <c r="K38" i="16" s="1"/>
  <c r="L38" i="16" s="1"/>
  <c r="M38" i="16" s="1"/>
  <c r="N38" i="16" s="1"/>
  <c r="O38" i="16" s="1"/>
  <c r="P39" i="16"/>
  <c r="Q39" i="16" s="1"/>
  <c r="R39" i="16" s="1"/>
  <c r="P15" i="16"/>
  <c r="Q15" i="16" s="1"/>
  <c r="R15" i="16" s="1"/>
  <c r="G14" i="16"/>
  <c r="F26" i="16"/>
  <c r="F30" i="16" s="1"/>
  <c r="J36" i="16"/>
  <c r="K36" i="16" s="1"/>
  <c r="L36" i="16" s="1"/>
  <c r="M36" i="16" s="1"/>
  <c r="N36" i="16" s="1"/>
  <c r="O36" i="16" s="1"/>
  <c r="D30" i="16"/>
  <c r="L36" i="14"/>
  <c r="M36" i="14" s="1"/>
  <c r="N36" i="14" s="1"/>
  <c r="O36" i="14" s="1"/>
  <c r="AB8" i="9"/>
  <c r="B44" i="6"/>
  <c r="B42" i="14" s="1"/>
  <c r="G42" i="14"/>
  <c r="H42" i="14" s="1"/>
  <c r="I42" i="14" s="1"/>
  <c r="J42" i="14" s="1"/>
  <c r="K42" i="14" s="1"/>
  <c r="L42" i="14" s="1"/>
  <c r="M42" i="14" s="1"/>
  <c r="N42" i="14" s="1"/>
  <c r="O42" i="14" s="1"/>
  <c r="G40" i="14"/>
  <c r="H40" i="14" s="1"/>
  <c r="I40" i="14" s="1"/>
  <c r="J40" i="14" s="1"/>
  <c r="K40" i="14" s="1"/>
  <c r="L40" i="14" s="1"/>
  <c r="M40" i="14" s="1"/>
  <c r="N40" i="14" s="1"/>
  <c r="O40" i="14" s="1"/>
  <c r="G35" i="14"/>
  <c r="H35" i="14" s="1"/>
  <c r="I35" i="14" s="1"/>
  <c r="J35" i="14" s="1"/>
  <c r="K35" i="14" s="1"/>
  <c r="L35" i="14" s="1"/>
  <c r="M35" i="14" s="1"/>
  <c r="N35" i="14" s="1"/>
  <c r="O35" i="14" s="1"/>
  <c r="G39" i="14"/>
  <c r="H39" i="14" s="1"/>
  <c r="I39" i="14" s="1"/>
  <c r="J39" i="14" s="1"/>
  <c r="K39" i="14" s="1"/>
  <c r="L39" i="14" s="1"/>
  <c r="M39" i="14" s="1"/>
  <c r="N39" i="14" s="1"/>
  <c r="O39" i="14" s="1"/>
  <c r="S11" i="8"/>
  <c r="V11" i="8" s="1"/>
  <c r="H11" i="8"/>
  <c r="M11" i="8" s="1"/>
  <c r="E47" i="16" l="1"/>
  <c r="E50" i="16" s="1"/>
  <c r="F32" i="16"/>
  <c r="F47" i="16" s="1"/>
  <c r="F50" i="16" s="1"/>
  <c r="P12" i="16"/>
  <c r="Q12" i="16" s="1"/>
  <c r="R12" i="16" s="1"/>
  <c r="P38" i="16"/>
  <c r="Q38" i="16" s="1"/>
  <c r="R38" i="16" s="1"/>
  <c r="G13" i="16"/>
  <c r="H13" i="16" s="1"/>
  <c r="K37" i="16"/>
  <c r="L37" i="16" s="1"/>
  <c r="M37" i="16" s="1"/>
  <c r="N37" i="16" s="1"/>
  <c r="O37" i="16" s="1"/>
  <c r="D32" i="16"/>
  <c r="D47" i="16" s="1"/>
  <c r="D50" i="16" s="1"/>
  <c r="H14" i="16"/>
  <c r="G26" i="16"/>
  <c r="P40" i="16"/>
  <c r="Q40" i="16" s="1"/>
  <c r="R40" i="16" s="1"/>
  <c r="P36" i="16"/>
  <c r="Q36" i="16" s="1"/>
  <c r="R36" i="16" s="1"/>
  <c r="J35" i="16"/>
  <c r="I45" i="16"/>
  <c r="I46" i="16" s="1"/>
  <c r="AB9" i="9"/>
  <c r="W11" i="8"/>
  <c r="Y11" i="8" s="1"/>
  <c r="G21" i="16" l="1"/>
  <c r="G24" i="16" s="1"/>
  <c r="H26" i="16"/>
  <c r="H30" i="16" s="1"/>
  <c r="I14" i="16"/>
  <c r="K35" i="16"/>
  <c r="J45" i="16"/>
  <c r="J46" i="16" s="1"/>
  <c r="G30" i="16"/>
  <c r="P37" i="16"/>
  <c r="Q37" i="16" s="1"/>
  <c r="R37" i="16" s="1"/>
  <c r="H21" i="16"/>
  <c r="I13" i="16"/>
  <c r="F62" i="16"/>
  <c r="F63" i="16" s="1"/>
  <c r="F57" i="16"/>
  <c r="F58" i="16" s="1"/>
  <c r="E62" i="16"/>
  <c r="E63" i="16" s="1"/>
  <c r="E57" i="16"/>
  <c r="E58" i="16" s="1"/>
  <c r="AB10" i="9"/>
  <c r="F66" i="16" l="1"/>
  <c r="E66" i="16"/>
  <c r="E67" i="16" s="1"/>
  <c r="F67" i="16" s="1"/>
  <c r="G32" i="16"/>
  <c r="G47" i="16" s="1"/>
  <c r="D62" i="16"/>
  <c r="D57" i="16"/>
  <c r="D58" i="16" s="1"/>
  <c r="H24" i="16"/>
  <c r="H32" i="16" s="1"/>
  <c r="H47" i="16" s="1"/>
  <c r="H50" i="16" s="1"/>
  <c r="I26" i="16"/>
  <c r="I30" i="16" s="1"/>
  <c r="J14" i="16"/>
  <c r="I21" i="16"/>
  <c r="I24" i="16" s="1"/>
  <c r="J13" i="16"/>
  <c r="K45" i="16"/>
  <c r="K46" i="16" s="1"/>
  <c r="L35" i="16"/>
  <c r="AB11" i="9"/>
  <c r="G50" i="16" l="1"/>
  <c r="L45" i="16"/>
  <c r="L46" i="16" s="1"/>
  <c r="M35" i="16"/>
  <c r="K13" i="16"/>
  <c r="J21" i="16"/>
  <c r="I32" i="16"/>
  <c r="I47" i="16" s="1"/>
  <c r="I50" i="16" s="1"/>
  <c r="D63" i="16"/>
  <c r="D66" i="16" s="1"/>
  <c r="J26" i="16"/>
  <c r="J30" i="16" s="1"/>
  <c r="K14" i="16"/>
  <c r="G62" i="16"/>
  <c r="G63" i="16" s="1"/>
  <c r="G57" i="16"/>
  <c r="G58" i="16" s="1"/>
  <c r="AB12" i="9"/>
  <c r="G66" i="16" l="1"/>
  <c r="G67" i="16" s="1"/>
  <c r="L14" i="16"/>
  <c r="K26" i="16"/>
  <c r="K30" i="16" s="1"/>
  <c r="M45" i="16"/>
  <c r="M46" i="16" s="1"/>
  <c r="N35" i="16"/>
  <c r="H62" i="16"/>
  <c r="H63" i="16" s="1"/>
  <c r="H57" i="16"/>
  <c r="H58" i="16" s="1"/>
  <c r="J24" i="16"/>
  <c r="J32" i="16" s="1"/>
  <c r="J47" i="16" s="1"/>
  <c r="J50" i="16" s="1"/>
  <c r="L13" i="16"/>
  <c r="K21" i="16"/>
  <c r="K24" i="16" s="1"/>
  <c r="K32" i="16" s="1"/>
  <c r="K47" i="16" s="1"/>
  <c r="K50" i="16" s="1"/>
  <c r="AC14" i="9"/>
  <c r="H66" i="16" l="1"/>
  <c r="N45" i="16"/>
  <c r="N46" i="16" s="1"/>
  <c r="O35" i="16"/>
  <c r="M13" i="16"/>
  <c r="L21" i="16"/>
  <c r="L24" i="16" s="1"/>
  <c r="L32" i="16" s="1"/>
  <c r="L47" i="16" s="1"/>
  <c r="L50" i="16" s="1"/>
  <c r="I62" i="16"/>
  <c r="I57" i="16"/>
  <c r="I58" i="16" s="1"/>
  <c r="M14" i="16"/>
  <c r="L26" i="16"/>
  <c r="L30" i="16" s="1"/>
  <c r="N12" i="12"/>
  <c r="N11" i="12"/>
  <c r="N10" i="12"/>
  <c r="N9" i="12"/>
  <c r="N8" i="12"/>
  <c r="N7" i="12"/>
  <c r="B27" i="14"/>
  <c r="S12" i="9"/>
  <c r="T12" i="9" s="1"/>
  <c r="U12" i="9" s="1"/>
  <c r="V12" i="9" s="1"/>
  <c r="W12" i="9" s="1"/>
  <c r="S11" i="9"/>
  <c r="T11" i="9" s="1"/>
  <c r="U11" i="9" s="1"/>
  <c r="V11" i="9" s="1"/>
  <c r="W11" i="9" s="1"/>
  <c r="T10" i="9"/>
  <c r="U10" i="9" s="1"/>
  <c r="V10" i="9" s="1"/>
  <c r="W10" i="9" s="1"/>
  <c r="S10" i="9"/>
  <c r="T9" i="9"/>
  <c r="U9" i="9" s="1"/>
  <c r="V9" i="9" s="1"/>
  <c r="W9" i="9" s="1"/>
  <c r="S9" i="9"/>
  <c r="S8" i="9"/>
  <c r="T8" i="9" s="1"/>
  <c r="U8" i="9" s="1"/>
  <c r="V8" i="9" s="1"/>
  <c r="W8" i="9" s="1"/>
  <c r="S7" i="9"/>
  <c r="T7" i="9" s="1"/>
  <c r="U7" i="9" s="1"/>
  <c r="V7" i="9" s="1"/>
  <c r="W7" i="9" s="1"/>
  <c r="P59" i="14"/>
  <c r="H67" i="16" l="1"/>
  <c r="N13" i="16"/>
  <c r="M21" i="16"/>
  <c r="M24" i="16" s="1"/>
  <c r="O45" i="16"/>
  <c r="O46" i="16" s="1"/>
  <c r="P35" i="16"/>
  <c r="K62" i="16"/>
  <c r="K63" i="16" s="1"/>
  <c r="K57" i="16"/>
  <c r="K58" i="16" s="1"/>
  <c r="J62" i="16"/>
  <c r="J63" i="16" s="1"/>
  <c r="J57" i="16"/>
  <c r="J58" i="16" s="1"/>
  <c r="N14" i="16"/>
  <c r="M26" i="16"/>
  <c r="M30" i="16" s="1"/>
  <c r="I63" i="16"/>
  <c r="I66" i="16" s="1"/>
  <c r="F45" i="14"/>
  <c r="F46" i="14" s="1"/>
  <c r="K66" i="16" l="1"/>
  <c r="J66" i="16"/>
  <c r="I67" i="16"/>
  <c r="Q35" i="16"/>
  <c r="P45" i="16"/>
  <c r="P46" i="16" s="1"/>
  <c r="O14" i="16"/>
  <c r="N26" i="16"/>
  <c r="N30" i="16" s="1"/>
  <c r="N21" i="16"/>
  <c r="N24" i="16" s="1"/>
  <c r="N32" i="16" s="1"/>
  <c r="N47" i="16" s="1"/>
  <c r="N50" i="16" s="1"/>
  <c r="O13" i="16"/>
  <c r="M32" i="16"/>
  <c r="M47" i="16" s="1"/>
  <c r="M50" i="16" s="1"/>
  <c r="L62" i="16"/>
  <c r="L57" i="16"/>
  <c r="L58" i="16" s="1"/>
  <c r="F58" i="7"/>
  <c r="F61" i="7" s="1"/>
  <c r="F57" i="7"/>
  <c r="F60" i="7" s="1"/>
  <c r="D33" i="13"/>
  <c r="G12" i="9"/>
  <c r="I12" i="9" s="1"/>
  <c r="L12" i="9" s="1"/>
  <c r="A12" i="9"/>
  <c r="A24" i="9" s="1"/>
  <c r="A19" i="9"/>
  <c r="J67" i="16" l="1"/>
  <c r="K67" i="16" s="1"/>
  <c r="R35" i="16"/>
  <c r="R45" i="16" s="1"/>
  <c r="R46" i="16" s="1"/>
  <c r="Q45" i="16"/>
  <c r="Q46" i="16" s="1"/>
  <c r="L63" i="16"/>
  <c r="L66" i="16" s="1"/>
  <c r="O26" i="16"/>
  <c r="P14" i="16"/>
  <c r="Q14" i="16" s="1"/>
  <c r="R14" i="16" s="1"/>
  <c r="O21" i="16"/>
  <c r="P13" i="16"/>
  <c r="Q13" i="16" s="1"/>
  <c r="R13" i="16" s="1"/>
  <c r="M12" i="9"/>
  <c r="N12" i="9" s="1"/>
  <c r="O12" i="9" s="1"/>
  <c r="P12" i="9" s="1"/>
  <c r="Q12" i="9" s="1"/>
  <c r="R12" i="9" s="1"/>
  <c r="X12" i="9"/>
  <c r="L67" i="16" l="1"/>
  <c r="O24" i="16"/>
  <c r="P21" i="16"/>
  <c r="O30" i="16"/>
  <c r="P26" i="16"/>
  <c r="M62" i="16"/>
  <c r="M57" i="16"/>
  <c r="M58" i="16" s="1"/>
  <c r="N62" i="16"/>
  <c r="N63" i="16" s="1"/>
  <c r="N57" i="16"/>
  <c r="N58" i="16" s="1"/>
  <c r="Y12" i="9"/>
  <c r="J12" i="9"/>
  <c r="K12" i="9" s="1"/>
  <c r="N66" i="16" l="1"/>
  <c r="M63" i="16"/>
  <c r="M66" i="16" s="1"/>
  <c r="P24" i="16"/>
  <c r="Q21" i="16"/>
  <c r="Q26" i="16"/>
  <c r="P30" i="16"/>
  <c r="O32" i="16"/>
  <c r="O47" i="16" s="1"/>
  <c r="O50" i="16" s="1"/>
  <c r="G48" i="6"/>
  <c r="F48" i="6"/>
  <c r="H21" i="4"/>
  <c r="K8" i="13"/>
  <c r="F27" i="12" s="1"/>
  <c r="K8" i="2"/>
  <c r="C42" i="2" s="1"/>
  <c r="G29" i="6"/>
  <c r="F29" i="6"/>
  <c r="E7" i="6"/>
  <c r="C44" i="13"/>
  <c r="C49" i="13" s="1"/>
  <c r="I21" i="13"/>
  <c r="I20" i="13"/>
  <c r="I19" i="13"/>
  <c r="I18" i="13"/>
  <c r="I17" i="13"/>
  <c r="I16" i="13"/>
  <c r="I15" i="13"/>
  <c r="C15" i="13"/>
  <c r="C17" i="13" s="1"/>
  <c r="I14" i="13"/>
  <c r="L29" i="11"/>
  <c r="D30" i="11"/>
  <c r="Q29" i="11" s="1"/>
  <c r="F30" i="11"/>
  <c r="H30" i="11" s="1"/>
  <c r="J30" i="11"/>
  <c r="L30" i="11"/>
  <c r="D31" i="11"/>
  <c r="Q30" i="11" s="1"/>
  <c r="F31" i="11"/>
  <c r="H31" i="11" s="1"/>
  <c r="J31" i="11"/>
  <c r="N30" i="11" s="1"/>
  <c r="L31" i="11"/>
  <c r="D32" i="11"/>
  <c r="Q31" i="11" s="1"/>
  <c r="F32" i="11"/>
  <c r="H32" i="11" s="1"/>
  <c r="J32" i="11"/>
  <c r="N31" i="11" s="1"/>
  <c r="O31" i="11" s="1"/>
  <c r="A34" i="11"/>
  <c r="C34" i="11"/>
  <c r="E34" i="11"/>
  <c r="M34" i="11"/>
  <c r="L10" i="11"/>
  <c r="J11" i="11"/>
  <c r="N10" i="11" s="1"/>
  <c r="O10" i="11" s="1"/>
  <c r="L12" i="10"/>
  <c r="L8" i="10"/>
  <c r="D26" i="12"/>
  <c r="D25" i="12"/>
  <c r="D24" i="12"/>
  <c r="D23" i="12"/>
  <c r="D22" i="12"/>
  <c r="D21" i="12"/>
  <c r="I21" i="2"/>
  <c r="B26" i="6" s="1"/>
  <c r="I37" i="2"/>
  <c r="I36" i="2"/>
  <c r="I35" i="2"/>
  <c r="I34" i="2"/>
  <c r="I33" i="2"/>
  <c r="I32" i="2"/>
  <c r="I20" i="2"/>
  <c r="B25" i="6" s="1"/>
  <c r="I19" i="2"/>
  <c r="B24" i="6" s="1"/>
  <c r="I18" i="2"/>
  <c r="B23" i="6" s="1"/>
  <c r="I17" i="2"/>
  <c r="I16" i="2"/>
  <c r="I15" i="2"/>
  <c r="I14" i="2"/>
  <c r="B41" i="7"/>
  <c r="P10" i="8"/>
  <c r="O10" i="8"/>
  <c r="E10" i="8"/>
  <c r="P23" i="8"/>
  <c r="P25" i="8" s="1"/>
  <c r="P27" i="8" s="1"/>
  <c r="P31" i="8" s="1"/>
  <c r="P33" i="8" s="1"/>
  <c r="P34" i="8" s="1"/>
  <c r="P18" i="8"/>
  <c r="J10" i="11"/>
  <c r="B21" i="7"/>
  <c r="B20" i="7"/>
  <c r="B19" i="7"/>
  <c r="B18" i="7"/>
  <c r="B17" i="7"/>
  <c r="R9" i="10"/>
  <c r="R11" i="10" s="1"/>
  <c r="O9" i="10"/>
  <c r="O33" i="10"/>
  <c r="O35" i="10" s="1"/>
  <c r="O24" i="10"/>
  <c r="O27" i="10" s="1"/>
  <c r="O20" i="10"/>
  <c r="O26" i="10" s="1"/>
  <c r="M18" i="8"/>
  <c r="M27" i="8"/>
  <c r="M23" i="8"/>
  <c r="M25" i="8" s="1"/>
  <c r="M22" i="11"/>
  <c r="L20" i="11"/>
  <c r="L19" i="11"/>
  <c r="M12" i="11"/>
  <c r="C24" i="11"/>
  <c r="C15" i="11"/>
  <c r="L9" i="11"/>
  <c r="J21" i="11"/>
  <c r="N20" i="11" s="1"/>
  <c r="J20" i="11"/>
  <c r="N19" i="11" s="1"/>
  <c r="O19" i="11" s="1"/>
  <c r="F11" i="11"/>
  <c r="H11" i="11" s="1"/>
  <c r="D11" i="11"/>
  <c r="Q10" i="11" s="1"/>
  <c r="F21" i="11"/>
  <c r="H21" i="11" s="1"/>
  <c r="D21" i="11"/>
  <c r="Q20" i="11" s="1"/>
  <c r="F10" i="11"/>
  <c r="H10" i="11" s="1"/>
  <c r="D10" i="11"/>
  <c r="Q9" i="11" s="1"/>
  <c r="D20" i="11"/>
  <c r="E24" i="11"/>
  <c r="A24" i="11"/>
  <c r="F20" i="11"/>
  <c r="H20" i="11" s="1"/>
  <c r="E15" i="11"/>
  <c r="A15" i="11"/>
  <c r="M67" i="16" l="1"/>
  <c r="N67" i="16" s="1"/>
  <c r="Q30" i="16"/>
  <c r="R26" i="16"/>
  <c r="R30" i="16" s="1"/>
  <c r="Q24" i="16"/>
  <c r="Q32" i="16" s="1"/>
  <c r="Q47" i="16" s="1"/>
  <c r="R21" i="16"/>
  <c r="R24" i="16" s="1"/>
  <c r="P32" i="16"/>
  <c r="P47" i="16" s="1"/>
  <c r="C42" i="13"/>
  <c r="C54" i="13" s="1"/>
  <c r="E9" i="6"/>
  <c r="D68" i="13"/>
  <c r="D36" i="13"/>
  <c r="H24" i="11"/>
  <c r="H34" i="11"/>
  <c r="H15" i="11"/>
  <c r="J34" i="11"/>
  <c r="N29" i="11"/>
  <c r="O29" i="11" s="1"/>
  <c r="O30" i="11"/>
  <c r="F34" i="11"/>
  <c r="D34" i="11"/>
  <c r="D15" i="11"/>
  <c r="J15" i="11"/>
  <c r="J24" i="11"/>
  <c r="D24" i="11"/>
  <c r="O41" i="10"/>
  <c r="N22" i="11"/>
  <c r="O20" i="11"/>
  <c r="Q19" i="11"/>
  <c r="B22" i="7"/>
  <c r="R13" i="10"/>
  <c r="R15" i="10" s="1"/>
  <c r="O13" i="10"/>
  <c r="O15" i="10" s="1"/>
  <c r="O11" i="10"/>
  <c r="O28" i="10"/>
  <c r="N9" i="11"/>
  <c r="F24" i="11"/>
  <c r="F15" i="11"/>
  <c r="D10" i="8"/>
  <c r="D13" i="8" s="1"/>
  <c r="C21" i="8" s="1"/>
  <c r="D16" i="8"/>
  <c r="E16" i="8" s="1"/>
  <c r="H10" i="8" s="1"/>
  <c r="M10" i="8" s="1"/>
  <c r="D15" i="8"/>
  <c r="E15" i="8" s="1"/>
  <c r="H29" i="8"/>
  <c r="E32" i="8"/>
  <c r="E33" i="8" s="1"/>
  <c r="E34" i="8" s="1"/>
  <c r="E31" i="8"/>
  <c r="E30" i="8"/>
  <c r="E29" i="8"/>
  <c r="E25" i="8"/>
  <c r="E28" i="8" s="1"/>
  <c r="E24" i="8"/>
  <c r="E27" i="8" s="1"/>
  <c r="E23" i="8"/>
  <c r="E26" i="8" s="1"/>
  <c r="E22" i="8"/>
  <c r="E21" i="8"/>
  <c r="H36" i="8"/>
  <c r="F45" i="8"/>
  <c r="F23" i="8"/>
  <c r="F38" i="8"/>
  <c r="H37" i="8"/>
  <c r="F31" i="8"/>
  <c r="X13" i="8"/>
  <c r="U13" i="8"/>
  <c r="T13" i="8"/>
  <c r="Q13" i="8"/>
  <c r="N13" i="8"/>
  <c r="L13" i="8"/>
  <c r="K13" i="8"/>
  <c r="J13" i="8"/>
  <c r="I13" i="8"/>
  <c r="G13" i="8"/>
  <c r="F13" i="8"/>
  <c r="R32" i="16" l="1"/>
  <c r="R47" i="16" s="1"/>
  <c r="O62" i="16"/>
  <c r="O57" i="16"/>
  <c r="O58" i="16" s="1"/>
  <c r="C12" i="13"/>
  <c r="C21" i="13" s="1"/>
  <c r="D21" i="13" s="1"/>
  <c r="C12" i="2"/>
  <c r="C10" i="2"/>
  <c r="C19" i="2" s="1"/>
  <c r="C10" i="13"/>
  <c r="C19" i="13" s="1"/>
  <c r="L8" i="13"/>
  <c r="E8" i="6" s="1"/>
  <c r="F24" i="12"/>
  <c r="F25" i="12"/>
  <c r="F22" i="12"/>
  <c r="F23" i="12"/>
  <c r="K17" i="13"/>
  <c r="L17" i="13" s="1"/>
  <c r="E22" i="6" s="1"/>
  <c r="F21" i="12"/>
  <c r="K16" i="13"/>
  <c r="L16" i="13" s="1"/>
  <c r="E21" i="6" s="1"/>
  <c r="K20" i="13"/>
  <c r="L20" i="13" s="1"/>
  <c r="E25" i="6" s="1"/>
  <c r="K18" i="13"/>
  <c r="L18" i="13" s="1"/>
  <c r="E23" i="6" s="1"/>
  <c r="F26" i="12"/>
  <c r="K19" i="13"/>
  <c r="L19" i="13" s="1"/>
  <c r="E24" i="6" s="1"/>
  <c r="K15" i="13"/>
  <c r="L15" i="13" s="1"/>
  <c r="E20" i="6" s="1"/>
  <c r="C68" i="13"/>
  <c r="N34" i="11"/>
  <c r="O34" i="11"/>
  <c r="O22" i="11"/>
  <c r="B25" i="7"/>
  <c r="O16" i="10"/>
  <c r="O39" i="10" s="1"/>
  <c r="O42" i="10"/>
  <c r="B28" i="7"/>
  <c r="H8" i="10"/>
  <c r="H12" i="10" s="1"/>
  <c r="O9" i="11"/>
  <c r="K14" i="13" s="1"/>
  <c r="L14" i="13" s="1"/>
  <c r="N12" i="11"/>
  <c r="E13" i="8"/>
  <c r="C22" i="8" s="1"/>
  <c r="H38" i="8"/>
  <c r="G21" i="8"/>
  <c r="G23" i="8" s="1"/>
  <c r="G29" i="8"/>
  <c r="I29" i="8" s="1"/>
  <c r="H43" i="8"/>
  <c r="H45" i="8" s="1"/>
  <c r="H30" i="8"/>
  <c r="H31" i="8" s="1"/>
  <c r="G30" i="8"/>
  <c r="G37" i="8"/>
  <c r="I37" i="8" s="1"/>
  <c r="G36" i="8"/>
  <c r="G43" i="8"/>
  <c r="H13" i="8"/>
  <c r="H21" i="8"/>
  <c r="H23" i="8" s="1"/>
  <c r="M13" i="8"/>
  <c r="O63" i="16" l="1"/>
  <c r="P63" i="16" s="1"/>
  <c r="Q63" i="16" s="1"/>
  <c r="R63" i="16" s="1"/>
  <c r="P62" i="16"/>
  <c r="Q62" i="16" s="1"/>
  <c r="R62" i="16" s="1"/>
  <c r="E14" i="6"/>
  <c r="E19" i="6"/>
  <c r="K9" i="13"/>
  <c r="O12" i="11"/>
  <c r="I43" i="8"/>
  <c r="I45" i="8" s="1"/>
  <c r="R13" i="8"/>
  <c r="D31" i="8" s="1"/>
  <c r="I8" i="10"/>
  <c r="J8" i="10" s="1"/>
  <c r="J12" i="10" s="1"/>
  <c r="G38" i="8"/>
  <c r="I30" i="8"/>
  <c r="I21" i="8"/>
  <c r="I23" i="8" s="1"/>
  <c r="C23" i="8" s="1"/>
  <c r="D26" i="8" s="1"/>
  <c r="G31" i="8"/>
  <c r="G45" i="8"/>
  <c r="I36" i="8"/>
  <c r="H47" i="8"/>
  <c r="O66" i="16" l="1"/>
  <c r="C71" i="16" s="1"/>
  <c r="D19" i="2"/>
  <c r="D19" i="13"/>
  <c r="D15" i="14" s="1"/>
  <c r="K11" i="13"/>
  <c r="L9" i="13"/>
  <c r="B27" i="7"/>
  <c r="B13" i="12" s="1"/>
  <c r="P37" i="8"/>
  <c r="V10" i="8"/>
  <c r="C24" i="8"/>
  <c r="D27" i="8" s="1"/>
  <c r="P13" i="8"/>
  <c r="D30" i="8" s="1"/>
  <c r="I12" i="10"/>
  <c r="G47" i="8"/>
  <c r="I31" i="8"/>
  <c r="I38" i="8"/>
  <c r="C25" i="8"/>
  <c r="D28" i="8" s="1"/>
  <c r="C73" i="16" l="1"/>
  <c r="C74" i="16" s="1"/>
  <c r="O67" i="16"/>
  <c r="C13" i="12"/>
  <c r="B27" i="12"/>
  <c r="B16" i="12"/>
  <c r="E15" i="14"/>
  <c r="F15" i="14" s="1"/>
  <c r="G15" i="14" s="1"/>
  <c r="H15" i="14" s="1"/>
  <c r="I15" i="14" s="1"/>
  <c r="J15" i="14" s="1"/>
  <c r="K15" i="14" s="1"/>
  <c r="L15" i="14" s="1"/>
  <c r="M15" i="14" s="1"/>
  <c r="N15" i="14" s="1"/>
  <c r="O15" i="14" s="1"/>
  <c r="P15" i="14" s="1"/>
  <c r="Q15" i="14" s="1"/>
  <c r="R15" i="14" s="1"/>
  <c r="W10" i="8"/>
  <c r="O13" i="8"/>
  <c r="D29" i="8" s="1"/>
  <c r="J20" i="9"/>
  <c r="F26" i="9"/>
  <c r="D26" i="9"/>
  <c r="S14" i="9"/>
  <c r="T14" i="9"/>
  <c r="U14" i="9"/>
  <c r="W14" i="9"/>
  <c r="V14" i="9"/>
  <c r="G11" i="9"/>
  <c r="G10" i="9"/>
  <c r="G9" i="9"/>
  <c r="G8" i="9"/>
  <c r="G7" i="9"/>
  <c r="F14" i="9"/>
  <c r="D14" i="9"/>
  <c r="B13" i="7"/>
  <c r="D27" i="12" l="1"/>
  <c r="D30" i="12" s="1"/>
  <c r="B30" i="12"/>
  <c r="D13" i="12"/>
  <c r="C16" i="12"/>
  <c r="S13" i="8"/>
  <c r="Y10" i="8"/>
  <c r="K20" i="9"/>
  <c r="J21" i="9"/>
  <c r="K21" i="9" s="1"/>
  <c r="L20" i="9"/>
  <c r="M20" i="9" s="1"/>
  <c r="I10" i="9"/>
  <c r="L10" i="9" s="1"/>
  <c r="M10" i="9" s="1"/>
  <c r="N10" i="9" s="1"/>
  <c r="O10" i="9" s="1"/>
  <c r="P10" i="9" s="1"/>
  <c r="Q10" i="9" s="1"/>
  <c r="R10" i="9" s="1"/>
  <c r="I11" i="9"/>
  <c r="L11" i="9" s="1"/>
  <c r="M11" i="9" s="1"/>
  <c r="N11" i="9" s="1"/>
  <c r="O11" i="9" s="1"/>
  <c r="P11" i="9" s="1"/>
  <c r="Q11" i="9" s="1"/>
  <c r="R11" i="9" s="1"/>
  <c r="I9" i="9"/>
  <c r="L9" i="9" s="1"/>
  <c r="M9" i="9" s="1"/>
  <c r="N9" i="9" s="1"/>
  <c r="O9" i="9" s="1"/>
  <c r="P9" i="9" s="1"/>
  <c r="Q9" i="9" s="1"/>
  <c r="R9" i="9" s="1"/>
  <c r="I8" i="9"/>
  <c r="L8" i="9" s="1"/>
  <c r="M8" i="9" s="1"/>
  <c r="N8" i="9" s="1"/>
  <c r="O8" i="9" s="1"/>
  <c r="P8" i="9" s="1"/>
  <c r="Q8" i="9" s="1"/>
  <c r="R8" i="9" s="1"/>
  <c r="B29" i="7" l="1"/>
  <c r="F22" i="4"/>
  <c r="E13" i="12"/>
  <c r="D16" i="12"/>
  <c r="C46" i="2"/>
  <c r="C46" i="13"/>
  <c r="V13" i="8"/>
  <c r="J22" i="9"/>
  <c r="L21" i="9"/>
  <c r="M21" i="9" s="1"/>
  <c r="J11" i="9"/>
  <c r="K11" i="9" s="1"/>
  <c r="X11" i="9"/>
  <c r="J10" i="9"/>
  <c r="K10" i="9" s="1"/>
  <c r="J9" i="9"/>
  <c r="K9" i="9" s="1"/>
  <c r="X8" i="9"/>
  <c r="X9" i="9"/>
  <c r="F13" i="12" l="1"/>
  <c r="E16" i="12"/>
  <c r="Y8" i="9"/>
  <c r="Y11" i="9"/>
  <c r="Y9" i="9"/>
  <c r="Y13" i="8"/>
  <c r="W13" i="8"/>
  <c r="K22" i="9"/>
  <c r="L22" i="9"/>
  <c r="M22" i="9" s="1"/>
  <c r="J23" i="9"/>
  <c r="K19" i="9"/>
  <c r="X10" i="9"/>
  <c r="J8" i="9"/>
  <c r="K8" i="9" s="1"/>
  <c r="G13" i="12" l="1"/>
  <c r="F16" i="12"/>
  <c r="J24" i="9"/>
  <c r="D32" i="8"/>
  <c r="Y10" i="9"/>
  <c r="D33" i="8"/>
  <c r="C34" i="8" s="1"/>
  <c r="C36" i="8" s="1"/>
  <c r="L23" i="9"/>
  <c r="M23" i="9" s="1"/>
  <c r="K23" i="9"/>
  <c r="H13" i="12" l="1"/>
  <c r="G16" i="12"/>
  <c r="K24" i="9"/>
  <c r="K26" i="9" s="1"/>
  <c r="L24" i="9"/>
  <c r="M24" i="9" s="1"/>
  <c r="J26" i="9"/>
  <c r="B26" i="7"/>
  <c r="B31" i="7" s="1"/>
  <c r="B43" i="7" s="1"/>
  <c r="M41" i="8"/>
  <c r="M37" i="8"/>
  <c r="D36" i="8"/>
  <c r="D37" i="8" s="1"/>
  <c r="I13" i="12" l="1"/>
  <c r="H16" i="12"/>
  <c r="C20" i="2"/>
  <c r="C20" i="13"/>
  <c r="B44" i="7"/>
  <c r="C58" i="14"/>
  <c r="C64" i="14" s="1"/>
  <c r="D7" i="6"/>
  <c r="G30" i="6"/>
  <c r="F30" i="6"/>
  <c r="G32" i="6"/>
  <c r="G51" i="6" s="1"/>
  <c r="F32" i="6"/>
  <c r="F51" i="6" s="1"/>
  <c r="B37" i="6"/>
  <c r="L16" i="2"/>
  <c r="D21" i="6" s="1"/>
  <c r="H21" i="6" s="1"/>
  <c r="B22" i="6"/>
  <c r="B21" i="6"/>
  <c r="B20" i="6"/>
  <c r="B19" i="6"/>
  <c r="D33" i="2"/>
  <c r="C15" i="2"/>
  <c r="E27" i="12" s="1"/>
  <c r="G27" i="12" s="1"/>
  <c r="H27" i="12" s="1"/>
  <c r="C21" i="2"/>
  <c r="C76" i="14" l="1"/>
  <c r="J13" i="12"/>
  <c r="I16" i="12"/>
  <c r="D65" i="14"/>
  <c r="C23" i="13"/>
  <c r="D20" i="13"/>
  <c r="C17" i="2"/>
  <c r="E21" i="12"/>
  <c r="G21" i="12" s="1"/>
  <c r="H21" i="12" s="1"/>
  <c r="K32" i="13" s="1"/>
  <c r="E25" i="12"/>
  <c r="G25" i="12" s="1"/>
  <c r="H25" i="12" s="1"/>
  <c r="K36" i="13" s="1"/>
  <c r="L36" i="13" s="1"/>
  <c r="E41" i="6" s="1"/>
  <c r="E24" i="12"/>
  <c r="G24" i="12" s="1"/>
  <c r="H24" i="12" s="1"/>
  <c r="K35" i="13" s="1"/>
  <c r="L35" i="13" s="1"/>
  <c r="E40" i="6" s="1"/>
  <c r="E23" i="12"/>
  <c r="G23" i="12" s="1"/>
  <c r="H23" i="12" s="1"/>
  <c r="K34" i="13" s="1"/>
  <c r="L34" i="13" s="1"/>
  <c r="E39" i="6" s="1"/>
  <c r="E22" i="12"/>
  <c r="G22" i="12" s="1"/>
  <c r="H22" i="12" s="1"/>
  <c r="K33" i="13" s="1"/>
  <c r="L33" i="13" s="1"/>
  <c r="E38" i="6" s="1"/>
  <c r="E26" i="12"/>
  <c r="G26" i="12" s="1"/>
  <c r="H26" i="12" s="1"/>
  <c r="K37" i="13" s="1"/>
  <c r="L37" i="13" s="1"/>
  <c r="E42" i="6" s="1"/>
  <c r="D21" i="2"/>
  <c r="D14" i="14" s="1"/>
  <c r="D20" i="2"/>
  <c r="C44" i="2"/>
  <c r="C23" i="2"/>
  <c r="K13" i="12" l="1"/>
  <c r="J16" i="12"/>
  <c r="D17" i="14"/>
  <c r="K21" i="2"/>
  <c r="K21" i="13"/>
  <c r="D23" i="13"/>
  <c r="L32" i="13"/>
  <c r="L8" i="2"/>
  <c r="K36" i="2"/>
  <c r="L36" i="2" s="1"/>
  <c r="K35" i="2"/>
  <c r="L35" i="2" s="1"/>
  <c r="K15" i="2"/>
  <c r="L15" i="2" s="1"/>
  <c r="D20" i="6" s="1"/>
  <c r="H20" i="6" s="1"/>
  <c r="K34" i="2"/>
  <c r="L34" i="2" s="1"/>
  <c r="K33" i="2"/>
  <c r="L33" i="2" s="1"/>
  <c r="K32" i="2"/>
  <c r="K37" i="2"/>
  <c r="L37" i="2" s="1"/>
  <c r="K14" i="2"/>
  <c r="K20" i="2"/>
  <c r="L20" i="2" s="1"/>
  <c r="D25" i="6" s="1"/>
  <c r="H25" i="6" s="1"/>
  <c r="K19" i="2"/>
  <c r="L19" i="2" s="1"/>
  <c r="D24" i="6" s="1"/>
  <c r="H24" i="6" s="1"/>
  <c r="K18" i="2"/>
  <c r="L18" i="2" s="1"/>
  <c r="D23" i="6" s="1"/>
  <c r="H23" i="6" s="1"/>
  <c r="K17" i="2"/>
  <c r="L17" i="2" s="1"/>
  <c r="C49" i="2"/>
  <c r="D36" i="2" s="1"/>
  <c r="D9" i="6"/>
  <c r="H9" i="6" s="1"/>
  <c r="B12" i="4" s="1"/>
  <c r="D13" i="14" s="1"/>
  <c r="H30" i="12"/>
  <c r="D8" i="6"/>
  <c r="H8" i="6" s="1"/>
  <c r="C54" i="2"/>
  <c r="D23" i="2"/>
  <c r="D38" i="6" l="1"/>
  <c r="H38" i="6" s="1"/>
  <c r="D36" i="14" s="1"/>
  <c r="D42" i="6"/>
  <c r="H42" i="6" s="1"/>
  <c r="D40" i="14" s="1"/>
  <c r="D39" i="6"/>
  <c r="H39" i="6" s="1"/>
  <c r="D37" i="14" s="1"/>
  <c r="D40" i="6"/>
  <c r="H40" i="6" s="1"/>
  <c r="D38" i="14" s="1"/>
  <c r="D41" i="6"/>
  <c r="H41" i="6" s="1"/>
  <c r="D39" i="14" s="1"/>
  <c r="L13" i="12"/>
  <c r="K16" i="12"/>
  <c r="E17" i="14"/>
  <c r="L32" i="2"/>
  <c r="E13" i="14"/>
  <c r="F13" i="14" s="1"/>
  <c r="G13" i="14" s="1"/>
  <c r="H13" i="14" s="1"/>
  <c r="I13" i="14" s="1"/>
  <c r="J13" i="14" s="1"/>
  <c r="K13" i="14" s="1"/>
  <c r="L13" i="14" s="1"/>
  <c r="M13" i="14" s="1"/>
  <c r="N13" i="14" s="1"/>
  <c r="O13" i="14" s="1"/>
  <c r="L21" i="2"/>
  <c r="D26" i="6" s="1"/>
  <c r="E33" i="13"/>
  <c r="F33" i="13" s="1"/>
  <c r="D35" i="13" s="1"/>
  <c r="E35" i="13" s="1"/>
  <c r="D38" i="13" s="1"/>
  <c r="C45" i="13"/>
  <c r="D56" i="13" s="1"/>
  <c r="L21" i="13"/>
  <c r="K24" i="13"/>
  <c r="H20" i="4"/>
  <c r="H22" i="4" s="1"/>
  <c r="D68" i="2"/>
  <c r="D22" i="6"/>
  <c r="H22" i="6" s="1"/>
  <c r="K24" i="2"/>
  <c r="K25" i="2" s="1"/>
  <c r="L14" i="2"/>
  <c r="D19" i="6" s="1"/>
  <c r="H19" i="6" s="1"/>
  <c r="E37" i="6"/>
  <c r="D14" i="6"/>
  <c r="H14" i="6" s="1"/>
  <c r="E33" i="2"/>
  <c r="F33" i="2" s="1"/>
  <c r="C45" i="2"/>
  <c r="D56" i="2" s="1"/>
  <c r="C56" i="2" s="1"/>
  <c r="C68" i="2"/>
  <c r="M13" i="12" l="1"/>
  <c r="L16" i="12"/>
  <c r="D37" i="6"/>
  <c r="H37" i="6" s="1"/>
  <c r="D35" i="14" s="1"/>
  <c r="P13" i="14"/>
  <c r="Q13" i="14" s="1"/>
  <c r="R13" i="14" s="1"/>
  <c r="K25" i="13"/>
  <c r="K27" i="13"/>
  <c r="K28" i="13" s="1"/>
  <c r="E26" i="6"/>
  <c r="L24" i="13"/>
  <c r="L27" i="13" s="1"/>
  <c r="C56" i="13"/>
  <c r="C58" i="13" s="1"/>
  <c r="D58" i="13"/>
  <c r="D29" i="6"/>
  <c r="D30" i="6" s="1"/>
  <c r="K9" i="2"/>
  <c r="K11" i="2" s="1"/>
  <c r="L24" i="2"/>
  <c r="C58" i="2"/>
  <c r="D58" i="2"/>
  <c r="D35" i="2"/>
  <c r="E35" i="2" s="1"/>
  <c r="D38" i="2" s="1"/>
  <c r="D16" i="6"/>
  <c r="N13" i="12" l="1"/>
  <c r="N16" i="12" s="1"/>
  <c r="M16" i="12"/>
  <c r="D69" i="13"/>
  <c r="C50" i="13"/>
  <c r="E29" i="6"/>
  <c r="E30" i="6" s="1"/>
  <c r="H26" i="6"/>
  <c r="D32" i="6"/>
  <c r="L9" i="2"/>
  <c r="L27" i="2" s="1"/>
  <c r="K27" i="2"/>
  <c r="K28" i="2" s="1"/>
  <c r="E16" i="6"/>
  <c r="B15" i="4" s="1"/>
  <c r="C50" i="2"/>
  <c r="D69" i="2"/>
  <c r="D10" i="6" s="1"/>
  <c r="E32" i="6" l="1"/>
  <c r="E10" i="6"/>
  <c r="H10" i="6" s="1"/>
  <c r="C69" i="13"/>
  <c r="E14" i="14"/>
  <c r="E33" i="6"/>
  <c r="D33" i="6"/>
  <c r="B51" i="4"/>
  <c r="F51" i="4" s="1"/>
  <c r="F24" i="4"/>
  <c r="C69" i="2"/>
  <c r="F14" i="14" l="1"/>
  <c r="B64" i="4"/>
  <c r="B17" i="4"/>
  <c r="F24" i="7"/>
  <c r="H29" i="6"/>
  <c r="G14" i="14" l="1"/>
  <c r="H30" i="6"/>
  <c r="F23" i="7"/>
  <c r="B46" i="4"/>
  <c r="F23" i="4"/>
  <c r="H14" i="14" l="1"/>
  <c r="F45" i="7"/>
  <c r="F44" i="7"/>
  <c r="F46" i="4"/>
  <c r="B59" i="4"/>
  <c r="I14" i="14" l="1"/>
  <c r="B28" i="4"/>
  <c r="B31" i="4" s="1"/>
  <c r="J14" i="14" l="1"/>
  <c r="K14" i="14" l="1"/>
  <c r="L14" i="14" l="1"/>
  <c r="M14" i="14" l="1"/>
  <c r="N14" i="14" l="1"/>
  <c r="O14" i="14" l="1"/>
  <c r="P14" i="14" l="1"/>
  <c r="Q14" i="14" s="1"/>
  <c r="R14" i="14" s="1"/>
  <c r="I14" i="9"/>
  <c r="H19" i="9"/>
  <c r="H14" i="9"/>
  <c r="I19" i="9" l="1"/>
  <c r="H26" i="9"/>
  <c r="L14" i="9"/>
  <c r="M7" i="9"/>
  <c r="I26" i="9" l="1"/>
  <c r="L19" i="9"/>
  <c r="N7" i="9"/>
  <c r="M14" i="9"/>
  <c r="N14" i="9" l="1"/>
  <c r="O7" i="9"/>
  <c r="L26" i="9"/>
  <c r="M19" i="9"/>
  <c r="M26" i="9" s="1"/>
  <c r="O14" i="9" l="1"/>
  <c r="P7" i="9"/>
  <c r="Q7" i="9" l="1"/>
  <c r="P14" i="9"/>
  <c r="Q14" i="9" l="1"/>
  <c r="R7" i="9"/>
  <c r="R14" i="9" l="1"/>
  <c r="X7" i="9"/>
  <c r="AA14" i="9" s="1"/>
  <c r="J7" i="9"/>
  <c r="C47" i="2" l="1"/>
  <c r="C61" i="2" s="1"/>
  <c r="C47" i="13"/>
  <c r="C61" i="13" s="1"/>
  <c r="K38" i="13"/>
  <c r="K38" i="2"/>
  <c r="K42" i="2" s="1"/>
  <c r="J14" i="9"/>
  <c r="K7" i="9"/>
  <c r="K14" i="9" s="1"/>
  <c r="X14" i="9"/>
  <c r="Y7" i="9"/>
  <c r="Y14" i="9" s="1"/>
  <c r="L38" i="2" l="1"/>
  <c r="C63" i="2"/>
  <c r="C65" i="2" s="1"/>
  <c r="D61" i="2"/>
  <c r="D63" i="2" s="1"/>
  <c r="L38" i="13"/>
  <c r="K42" i="13"/>
  <c r="C63" i="13"/>
  <c r="C65" i="13" s="1"/>
  <c r="D61" i="13"/>
  <c r="D63" i="13" s="1"/>
  <c r="L42" i="13" l="1"/>
  <c r="E43" i="6"/>
  <c r="D43" i="6"/>
  <c r="H43" i="6" s="1"/>
  <c r="D41" i="14" s="1"/>
  <c r="L42" i="2"/>
  <c r="L44" i="2" s="1"/>
  <c r="L45" i="2" s="1"/>
  <c r="C51" i="2"/>
  <c r="D70" i="2"/>
  <c r="D65" i="2"/>
  <c r="L44" i="13"/>
  <c r="L45" i="13" s="1"/>
  <c r="C51" i="13"/>
  <c r="D70" i="13"/>
  <c r="D65" i="13"/>
  <c r="D48" i="6" l="1"/>
  <c r="D49" i="6" s="1"/>
  <c r="H44" i="6"/>
  <c r="E48" i="6"/>
  <c r="C70" i="13"/>
  <c r="C71" i="13" s="1"/>
  <c r="L46" i="13" s="1"/>
  <c r="E11" i="6"/>
  <c r="D71" i="13"/>
  <c r="D74" i="13" s="1"/>
  <c r="C70" i="2"/>
  <c r="C71" i="2" s="1"/>
  <c r="L46" i="2" s="1"/>
  <c r="D11" i="6"/>
  <c r="D71" i="2"/>
  <c r="D74" i="2" s="1"/>
  <c r="H48" i="6" l="1"/>
  <c r="C60" i="4" s="1"/>
  <c r="D42" i="14"/>
  <c r="D51" i="6"/>
  <c r="D52" i="6" s="1"/>
  <c r="H11" i="6"/>
  <c r="B16" i="4" s="1"/>
  <c r="B47" i="4" s="1"/>
  <c r="C47" i="4" s="1"/>
  <c r="E49" i="6"/>
  <c r="H49" i="6" s="1"/>
  <c r="E51" i="6"/>
  <c r="E52" i="6" s="1"/>
  <c r="B30" i="4"/>
  <c r="C30" i="4" s="1"/>
  <c r="H54" i="6"/>
  <c r="H55" i="6" s="1"/>
  <c r="H51" i="6" l="1"/>
  <c r="H56" i="6"/>
  <c r="F16" i="4"/>
  <c r="B27" i="4"/>
  <c r="C27" i="4" s="1"/>
  <c r="B35" i="4" s="1"/>
  <c r="B43" i="4" s="1"/>
  <c r="H52" i="6"/>
  <c r="F25" i="4" s="1"/>
  <c r="G30" i="4" s="1"/>
  <c r="F43" i="4" s="1"/>
  <c r="G47" i="4" s="1"/>
  <c r="B36" i="4"/>
  <c r="B56" i="4" s="1"/>
  <c r="D12" i="14" s="1"/>
  <c r="F21" i="4"/>
  <c r="B60" i="4"/>
  <c r="B62" i="4" s="1"/>
  <c r="F47" i="4"/>
  <c r="B49" i="4"/>
  <c r="D26" i="14" l="1"/>
  <c r="D27" i="14"/>
  <c r="G51" i="4"/>
  <c r="E12" i="14"/>
  <c r="C51" i="4"/>
  <c r="C46" i="4"/>
  <c r="C49" i="4" s="1"/>
  <c r="G31" i="4"/>
  <c r="F35" i="4"/>
  <c r="C64" i="4"/>
  <c r="C59" i="4"/>
  <c r="C62" i="4" s="1"/>
  <c r="G46" i="4"/>
  <c r="C53" i="4" l="1"/>
  <c r="E26" i="14"/>
  <c r="E35" i="14"/>
  <c r="E42" i="14"/>
  <c r="Q42" i="14" s="1"/>
  <c r="R42" i="14" s="1"/>
  <c r="E41" i="14"/>
  <c r="P41" i="14" s="1"/>
  <c r="Q41" i="14" s="1"/>
  <c r="R41" i="14" s="1"/>
  <c r="E40" i="14"/>
  <c r="P40" i="14" s="1"/>
  <c r="Q40" i="14" s="1"/>
  <c r="R40" i="14" s="1"/>
  <c r="E39" i="14"/>
  <c r="P39" i="14" s="1"/>
  <c r="Q39" i="14" s="1"/>
  <c r="R39" i="14" s="1"/>
  <c r="E38" i="14"/>
  <c r="E37" i="14"/>
  <c r="E36" i="14"/>
  <c r="P36" i="14" s="1"/>
  <c r="Q36" i="14" s="1"/>
  <c r="R36" i="14" s="1"/>
  <c r="E27" i="14"/>
  <c r="D24" i="14"/>
  <c r="G49" i="4"/>
  <c r="G53" i="4" s="1"/>
  <c r="F36" i="4" s="1"/>
  <c r="F12" i="14"/>
  <c r="F26" i="14" s="1"/>
  <c r="E21" i="14"/>
  <c r="C66" i="4"/>
  <c r="G38" i="14" l="1"/>
  <c r="H38" i="14" s="1"/>
  <c r="I38" i="14" s="1"/>
  <c r="J38" i="14" s="1"/>
  <c r="K38" i="14" s="1"/>
  <c r="L38" i="14" s="1"/>
  <c r="M38" i="14" s="1"/>
  <c r="N38" i="14" s="1"/>
  <c r="O38" i="14" s="1"/>
  <c r="G37" i="14"/>
  <c r="E45" i="14"/>
  <c r="E46" i="14" s="1"/>
  <c r="D45" i="14"/>
  <c r="D46" i="14" s="1"/>
  <c r="P35" i="14"/>
  <c r="G27" i="14"/>
  <c r="H27" i="14" s="1"/>
  <c r="I27" i="14" s="1"/>
  <c r="J27" i="14" s="1"/>
  <c r="K27" i="14" s="1"/>
  <c r="L27" i="14" s="1"/>
  <c r="M27" i="14" s="1"/>
  <c r="N27" i="14" s="1"/>
  <c r="O27" i="14" s="1"/>
  <c r="E24" i="14"/>
  <c r="D30" i="14"/>
  <c r="D32" i="14" s="1"/>
  <c r="G12" i="14"/>
  <c r="G26" i="14" s="1"/>
  <c r="F21" i="14"/>
  <c r="P38" i="14" l="1"/>
  <c r="Q38" i="14" s="1"/>
  <c r="R38" i="14" s="1"/>
  <c r="H37" i="14"/>
  <c r="G45" i="14"/>
  <c r="G46" i="14" s="1"/>
  <c r="P27" i="14"/>
  <c r="Q27" i="14" s="1"/>
  <c r="R27" i="14" s="1"/>
  <c r="Q35" i="14"/>
  <c r="D47" i="14"/>
  <c r="D53" i="14" s="1"/>
  <c r="D55" i="14" s="1"/>
  <c r="D56" i="14" s="1"/>
  <c r="F24" i="14"/>
  <c r="E30" i="14"/>
  <c r="E32" i="14" s="1"/>
  <c r="H12" i="14"/>
  <c r="H26" i="14" s="1"/>
  <c r="G21" i="14"/>
  <c r="I37" i="14" l="1"/>
  <c r="H45" i="14"/>
  <c r="H46" i="14" s="1"/>
  <c r="E47" i="14"/>
  <c r="E53" i="14" s="1"/>
  <c r="R35" i="14"/>
  <c r="D60" i="14"/>
  <c r="D61" i="14" s="1"/>
  <c r="D64" i="14" s="1"/>
  <c r="G24" i="14"/>
  <c r="G30" i="14"/>
  <c r="F30" i="14"/>
  <c r="F32" i="14" s="1"/>
  <c r="I12" i="14"/>
  <c r="I26" i="14" s="1"/>
  <c r="H21" i="14"/>
  <c r="E55" i="14" l="1"/>
  <c r="E56" i="14" s="1"/>
  <c r="P53" i="14"/>
  <c r="J37" i="14"/>
  <c r="I45" i="14"/>
  <c r="I46" i="14" s="1"/>
  <c r="E60" i="14"/>
  <c r="F47" i="14"/>
  <c r="F55" i="14" s="1"/>
  <c r="F56" i="14" s="1"/>
  <c r="H30" i="14"/>
  <c r="H24" i="14"/>
  <c r="G32" i="14"/>
  <c r="I21" i="14"/>
  <c r="J12" i="14"/>
  <c r="J26" i="14" s="1"/>
  <c r="E61" i="14" l="1"/>
  <c r="P61" i="14" s="1"/>
  <c r="P60" i="14"/>
  <c r="K37" i="14"/>
  <c r="J45" i="14"/>
  <c r="J46" i="14" s="1"/>
  <c r="E64" i="14"/>
  <c r="G47" i="14"/>
  <c r="G53" i="14" s="1"/>
  <c r="G60" i="14" s="1"/>
  <c r="G61" i="14" s="1"/>
  <c r="F60" i="14"/>
  <c r="F61" i="14" s="1"/>
  <c r="F64" i="14" s="1"/>
  <c r="H32" i="14"/>
  <c r="I30" i="14"/>
  <c r="I24" i="14"/>
  <c r="J21" i="14"/>
  <c r="K12" i="14"/>
  <c r="K26" i="14" s="1"/>
  <c r="L37" i="14" l="1"/>
  <c r="K45" i="14"/>
  <c r="K46" i="14" s="1"/>
  <c r="E65" i="14"/>
  <c r="F65" i="14" s="1"/>
  <c r="G55" i="14"/>
  <c r="G56" i="14" s="1"/>
  <c r="G64" i="14" s="1"/>
  <c r="H47" i="14"/>
  <c r="H53" i="14" s="1"/>
  <c r="H55" i="14" s="1"/>
  <c r="H56" i="14" s="1"/>
  <c r="I32" i="14"/>
  <c r="J24" i="14"/>
  <c r="J30" i="14"/>
  <c r="L12" i="14"/>
  <c r="L26" i="14" s="1"/>
  <c r="K21" i="14"/>
  <c r="M37" i="14" l="1"/>
  <c r="L45" i="14"/>
  <c r="L46" i="14" s="1"/>
  <c r="H60" i="14"/>
  <c r="H61" i="14" s="1"/>
  <c r="I47" i="14"/>
  <c r="I53" i="14" s="1"/>
  <c r="I55" i="14" s="1"/>
  <c r="I56" i="14" s="1"/>
  <c r="J32" i="14"/>
  <c r="K24" i="14"/>
  <c r="K30" i="14"/>
  <c r="G65" i="14"/>
  <c r="M12" i="14"/>
  <c r="M26" i="14" s="1"/>
  <c r="L21" i="14"/>
  <c r="N37" i="14" l="1"/>
  <c r="M45" i="14"/>
  <c r="M46" i="14" s="1"/>
  <c r="H64" i="14"/>
  <c r="I60" i="14"/>
  <c r="I61" i="14" s="1"/>
  <c r="J47" i="14"/>
  <c r="J53" i="14" s="1"/>
  <c r="J55" i="14" s="1"/>
  <c r="J56" i="14" s="1"/>
  <c r="K32" i="14"/>
  <c r="L30" i="14"/>
  <c r="L24" i="14"/>
  <c r="M21" i="14"/>
  <c r="N12" i="14"/>
  <c r="N26" i="14" s="1"/>
  <c r="H65" i="14" l="1"/>
  <c r="O37" i="14"/>
  <c r="O45" i="14" s="1"/>
  <c r="O46" i="14" s="1"/>
  <c r="N45" i="14"/>
  <c r="N46" i="14" s="1"/>
  <c r="I64" i="14"/>
  <c r="J60" i="14"/>
  <c r="J61" i="14" s="1"/>
  <c r="J64" i="14" s="1"/>
  <c r="K47" i="14"/>
  <c r="K53" i="14" s="1"/>
  <c r="K60" i="14" s="1"/>
  <c r="K61" i="14" s="1"/>
  <c r="L32" i="14"/>
  <c r="M24" i="14"/>
  <c r="M30" i="14"/>
  <c r="O12" i="14"/>
  <c r="O26" i="14" s="1"/>
  <c r="P26" i="14" s="1"/>
  <c r="N21" i="14"/>
  <c r="P37" i="14" l="1"/>
  <c r="Q37" i="14" s="1"/>
  <c r="I65" i="14"/>
  <c r="J65" i="14" s="1"/>
  <c r="K55" i="14"/>
  <c r="K56" i="14" s="1"/>
  <c r="K64" i="14" s="1"/>
  <c r="L47" i="14"/>
  <c r="L53" i="14" s="1"/>
  <c r="L55" i="14" s="1"/>
  <c r="L56" i="14" s="1"/>
  <c r="M32" i="14"/>
  <c r="N30" i="14"/>
  <c r="N24" i="14"/>
  <c r="O21" i="14"/>
  <c r="P21" i="14" s="1"/>
  <c r="Q21" i="14" s="1"/>
  <c r="P12" i="14"/>
  <c r="Q12" i="14" s="1"/>
  <c r="R12" i="14" s="1"/>
  <c r="P45" i="14" l="1"/>
  <c r="P46" i="14" s="1"/>
  <c r="R37" i="14"/>
  <c r="R45" i="14" s="1"/>
  <c r="R46" i="14" s="1"/>
  <c r="Q45" i="14"/>
  <c r="Q46" i="14" s="1"/>
  <c r="L60" i="14"/>
  <c r="L61" i="14" s="1"/>
  <c r="M47" i="14"/>
  <c r="M53" i="14" s="1"/>
  <c r="M55" i="14" s="1"/>
  <c r="M56" i="14" s="1"/>
  <c r="N32" i="14"/>
  <c r="O30" i="14"/>
  <c r="O24" i="14"/>
  <c r="K65" i="14"/>
  <c r="L64" i="14" l="1"/>
  <c r="M60" i="14"/>
  <c r="M61" i="14" s="1"/>
  <c r="N47" i="14"/>
  <c r="N53" i="14" s="1"/>
  <c r="N60" i="14" s="1"/>
  <c r="N61" i="14" s="1"/>
  <c r="O32" i="14"/>
  <c r="Q26" i="14"/>
  <c r="P30" i="14"/>
  <c r="P24" i="14"/>
  <c r="L65" i="14" l="1"/>
  <c r="M64" i="14"/>
  <c r="M65" i="14" s="1"/>
  <c r="N55" i="14"/>
  <c r="N56" i="14" s="1"/>
  <c r="N64" i="14" s="1"/>
  <c r="O47" i="14"/>
  <c r="O53" i="14" s="1"/>
  <c r="O60" i="14" s="1"/>
  <c r="P32" i="14"/>
  <c r="P47" i="14" s="1"/>
  <c r="R26" i="14"/>
  <c r="R30" i="14" s="1"/>
  <c r="Q30" i="14"/>
  <c r="Q24" i="14"/>
  <c r="R21" i="14"/>
  <c r="Q53" i="14" l="1"/>
  <c r="P49" i="16"/>
  <c r="O55" i="14"/>
  <c r="O56" i="14" s="1"/>
  <c r="Q32" i="14"/>
  <c r="R24" i="14"/>
  <c r="R32" i="14" s="1"/>
  <c r="N65" i="14"/>
  <c r="O61" i="14"/>
  <c r="Q61" i="14" s="1"/>
  <c r="R61" i="14" s="1"/>
  <c r="Q60" i="14"/>
  <c r="R60" i="14" s="1"/>
  <c r="P50" i="16" l="1"/>
  <c r="P55" i="16"/>
  <c r="P57" i="16" s="1"/>
  <c r="P58" i="16" s="1"/>
  <c r="P66" i="16" s="1"/>
  <c r="P55" i="14"/>
  <c r="P56" i="14" s="1"/>
  <c r="P64" i="14" s="1"/>
  <c r="Q47" i="14"/>
  <c r="Q49" i="16" s="1"/>
  <c r="R47" i="14"/>
  <c r="R49" i="16" s="1"/>
  <c r="O64" i="14"/>
  <c r="C69" i="14" s="1"/>
  <c r="Q55" i="14"/>
  <c r="R53" i="14"/>
  <c r="R55" i="14" s="1"/>
  <c r="Q50" i="16" l="1"/>
  <c r="Q55" i="16"/>
  <c r="Q57" i="16" s="1"/>
  <c r="Q58" i="16" s="1"/>
  <c r="Q66" i="16" s="1"/>
  <c r="Q67" i="16" s="1"/>
  <c r="R55" i="16"/>
  <c r="R57" i="16" s="1"/>
  <c r="R58" i="16" s="1"/>
  <c r="R66" i="16" s="1"/>
  <c r="R67" i="16" s="1"/>
  <c r="R50" i="16"/>
  <c r="C79" i="16"/>
  <c r="D78" i="16" s="1"/>
  <c r="C82" i="16" s="1"/>
  <c r="C84" i="16" s="1"/>
  <c r="P67" i="16"/>
  <c r="P65" i="14"/>
  <c r="C77" i="14"/>
  <c r="D76" i="14" s="1"/>
  <c r="C80" i="14" s="1"/>
  <c r="C82" i="14" s="1"/>
  <c r="C71" i="14"/>
  <c r="C72" i="14" s="1"/>
  <c r="Q56" i="14"/>
  <c r="Q64" i="14" s="1"/>
  <c r="Q65" i="14" s="1"/>
  <c r="O65" i="14"/>
  <c r="R56" i="14"/>
  <c r="R64" i="14" s="1"/>
  <c r="R65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Santiago</author>
  </authors>
  <commentList>
    <comment ref="L44" authorId="0" shapeId="0" xr:uid="{BD854ADA-077D-4A85-A3B8-04F318AA045A}">
      <text>
        <r>
          <rPr>
            <sz val="9"/>
            <color indexed="81"/>
            <rFont val="Calibri"/>
            <family val="2"/>
            <scheme val="minor"/>
          </rPr>
          <t>Completar esta información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Santiago</author>
  </authors>
  <commentList>
    <comment ref="L44" authorId="0" shapeId="0" xr:uid="{E6508162-D246-49F5-8AE9-A1212076D0C6}">
      <text>
        <r>
          <rPr>
            <sz val="9"/>
            <color indexed="81"/>
            <rFont val="Calibri"/>
            <family val="2"/>
            <scheme val="minor"/>
          </rPr>
          <t>Completar esta información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Santiago</author>
  </authors>
  <commentList>
    <comment ref="H54" authorId="0" shapeId="0" xr:uid="{EA41CEB9-2598-47F8-9569-A87E3A3F8BF3}">
      <text>
        <r>
          <rPr>
            <sz val="9"/>
            <color indexed="81"/>
            <rFont val="Calibri"/>
            <family val="2"/>
            <scheme val="minor"/>
          </rPr>
          <t>Completar esta información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<sst xmlns="http://schemas.openxmlformats.org/spreadsheetml/2006/main" count="741" uniqueCount="354">
  <si>
    <t>Costo de Producción.</t>
  </si>
  <si>
    <t>Solución:</t>
  </si>
  <si>
    <t>Formula Costo Primo:</t>
  </si>
  <si>
    <t>La Empresa Los Tres Palotes SpA</t>
  </si>
  <si>
    <t>MPD+MDO+CIF</t>
  </si>
  <si>
    <t>Materia Prima Directa (MPD)</t>
  </si>
  <si>
    <t>Costos Indirectos de Fabricación (CIF)</t>
  </si>
  <si>
    <t>Cantidad a Producir:</t>
  </si>
  <si>
    <t>Cantidad</t>
  </si>
  <si>
    <t>Valor</t>
  </si>
  <si>
    <t>Detalle Costo</t>
  </si>
  <si>
    <t>Total</t>
  </si>
  <si>
    <t>Unitario</t>
  </si>
  <si>
    <t>Horas</t>
  </si>
  <si>
    <t>MPD</t>
  </si>
  <si>
    <t>Días</t>
  </si>
  <si>
    <t>CIF</t>
  </si>
  <si>
    <t>Problema</t>
  </si>
  <si>
    <t>¿ Cúal fue el costo primo unitario y el costo total de producción?</t>
  </si>
  <si>
    <t>Respuestas:</t>
  </si>
  <si>
    <t>1- El costo total es de:</t>
  </si>
  <si>
    <t>Formula Margen de Contribución</t>
  </si>
  <si>
    <t>2- El costo Unitario es de:</t>
  </si>
  <si>
    <t>Precio de Venta - Costos Variables =</t>
  </si>
  <si>
    <t>Margén de Contribución</t>
  </si>
  <si>
    <t>Margen de Contribución % x 100 =</t>
  </si>
  <si>
    <t>Significa que el</t>
  </si>
  <si>
    <t>Precio de Venta</t>
  </si>
  <si>
    <t xml:space="preserve">de la venta de la taza de café contribuye a cubrir </t>
  </si>
  <si>
    <t>costos fijos y generar beneficios.</t>
  </si>
  <si>
    <t>Cantidad a Vender</t>
  </si>
  <si>
    <t>Precio de Venta (PV)</t>
  </si>
  <si>
    <t>Costo de Producción (CP)</t>
  </si>
  <si>
    <t>Costo Fijos (CF)</t>
  </si>
  <si>
    <t>Admisnitración y Ventas (AyV)</t>
  </si>
  <si>
    <t>Publicidad y Seguros</t>
  </si>
  <si>
    <t>P. de Venta (PV)</t>
  </si>
  <si>
    <t>Costos Variables (CV)</t>
  </si>
  <si>
    <t>Detalle Costo Variable</t>
  </si>
  <si>
    <t>CP</t>
  </si>
  <si>
    <t xml:space="preserve">¿ Cúal fue el margen unitario y total si se venden las </t>
  </si>
  <si>
    <t xml:space="preserve"> unidades?</t>
  </si>
  <si>
    <t>Costos Fijos</t>
  </si>
  <si>
    <t>CF</t>
  </si>
  <si>
    <t>1- El margen de contribución unitario es</t>
  </si>
  <si>
    <t>2- El margen de contribución total es</t>
  </si>
  <si>
    <t>Costo Total</t>
  </si>
  <si>
    <t>Unitairo</t>
  </si>
  <si>
    <t>PV</t>
  </si>
  <si>
    <t>CV</t>
  </si>
  <si>
    <t>Habiendo aplicado el análisis de punto de equilibrio se sabe que con</t>
  </si>
  <si>
    <t>unidades de tazas de café se esta en equilibrio sin pérdidas ni benficios.</t>
  </si>
  <si>
    <t xml:space="preserve">El precio de vende de la taza de café es de </t>
  </si>
  <si>
    <t>cada uno, y sus costos fueron los siguientes.</t>
  </si>
  <si>
    <t>¿Cuántas tazas de café debe vender la empresa</t>
  </si>
  <si>
    <t>Costo Fijo</t>
  </si>
  <si>
    <t>Costo Variable</t>
  </si>
  <si>
    <t>mensualmente?</t>
  </si>
  <si>
    <t xml:space="preserve">Estimación </t>
  </si>
  <si>
    <t>Datos</t>
  </si>
  <si>
    <t>¿ Cúal es su punto de equilibrio unitario y mensual ?</t>
  </si>
  <si>
    <t>Punto de Equilibrio</t>
  </si>
  <si>
    <t>Utilidad Deseada</t>
  </si>
  <si>
    <t>Precio</t>
  </si>
  <si>
    <t>Costo Variable Unitario</t>
  </si>
  <si>
    <t>Precio de Venta Unitario</t>
  </si>
  <si>
    <t>Formula Punto de Equilibrio.</t>
  </si>
  <si>
    <t>Margen de Contribución Unitario</t>
  </si>
  <si>
    <t>Formula:</t>
  </si>
  <si>
    <t>Margen de Contribución por Unidad</t>
  </si>
  <si>
    <t xml:space="preserve">Nuevas Unidades a Vender </t>
  </si>
  <si>
    <t>Utilidad deseada/Margén de Contribución Unitario</t>
  </si>
  <si>
    <t xml:space="preserve">La cantidad de equilibrio por unidad es de </t>
  </si>
  <si>
    <t>La empresa realizando la venta de</t>
  </si>
  <si>
    <t xml:space="preserve">La cantidad de equilibrio por el total es de </t>
  </si>
  <si>
    <t>unidades de tazas de café lograría</t>
  </si>
  <si>
    <t>de utilidad.</t>
  </si>
  <si>
    <t>Llegando a la venta de estas cantidades no hay perdida</t>
  </si>
  <si>
    <t>ni beneficios.</t>
  </si>
  <si>
    <t>Validación.</t>
  </si>
  <si>
    <t>Cantidad de Equilibrio</t>
  </si>
  <si>
    <t>Nueva Cantidad de Equilibrio</t>
  </si>
  <si>
    <t>Total Venta de Equilibrio</t>
  </si>
  <si>
    <t>Monto</t>
  </si>
  <si>
    <t>Costo</t>
  </si>
  <si>
    <t>Costo Variable por Unidad</t>
  </si>
  <si>
    <t>Costo Fijo por Unidad</t>
  </si>
  <si>
    <t>Totales</t>
  </si>
  <si>
    <t>Precio de Venta por Producto</t>
  </si>
  <si>
    <t>Equilibrio</t>
  </si>
  <si>
    <t>Arriendo</t>
  </si>
  <si>
    <t>Minutos</t>
  </si>
  <si>
    <t>Total Minutos</t>
  </si>
  <si>
    <t>Tiempo Preparación</t>
  </si>
  <si>
    <t>Tazas de Café</t>
  </si>
  <si>
    <t>Mano de Obra Directa (MOD)</t>
  </si>
  <si>
    <t>MOD</t>
  </si>
  <si>
    <t>Valida</t>
  </si>
  <si>
    <t>Aplicación del Punto de Equilibrio Estimado</t>
  </si>
  <si>
    <t>Unidades producidas</t>
  </si>
  <si>
    <t>U</t>
  </si>
  <si>
    <t>Ventas</t>
  </si>
  <si>
    <t>V</t>
  </si>
  <si>
    <t>Precio de venta unitario</t>
  </si>
  <si>
    <t>P=V/U</t>
  </si>
  <si>
    <t>Costos variables</t>
  </si>
  <si>
    <t>Total Costos Variables</t>
  </si>
  <si>
    <t>Costo variable unitario</t>
  </si>
  <si>
    <t>CVU=CV/U</t>
  </si>
  <si>
    <t>Margen de beneficio bruto</t>
  </si>
  <si>
    <t>M=V-CV</t>
  </si>
  <si>
    <t>Margen de beneficio unitario</t>
  </si>
  <si>
    <t>MU=M/U</t>
  </si>
  <si>
    <t>Costos fijos</t>
  </si>
  <si>
    <t>Beneficio neto total</t>
  </si>
  <si>
    <t>B=M-CF</t>
  </si>
  <si>
    <t>Total Costos Fijos</t>
  </si>
  <si>
    <t>Producción</t>
  </si>
  <si>
    <t>Café Normal</t>
  </si>
  <si>
    <t>Conceptos</t>
  </si>
  <si>
    <t>+</t>
  </si>
  <si>
    <t>Café con Leche</t>
  </si>
  <si>
    <t>Costo Unitario</t>
  </si>
  <si>
    <t>Costo Fijo Unitarios</t>
  </si>
  <si>
    <t>Implementación negocio</t>
  </si>
  <si>
    <t>Inversion Inicial</t>
  </si>
  <si>
    <t>Compra de Activos</t>
  </si>
  <si>
    <t>Total Activo</t>
  </si>
  <si>
    <t>Capital de Trabajo</t>
  </si>
  <si>
    <t>Mercaderia</t>
  </si>
  <si>
    <t>Total Capital de Trabajo</t>
  </si>
  <si>
    <t xml:space="preserve">Total </t>
  </si>
  <si>
    <t>Gastos de Puesta en Marcha</t>
  </si>
  <si>
    <t>Total Gastos de Puesta en Marcha</t>
  </si>
  <si>
    <t>Total Inversion</t>
  </si>
  <si>
    <t xml:space="preserve">Multifuncional brother </t>
  </si>
  <si>
    <t>Notario</t>
  </si>
  <si>
    <t>Caja registradora</t>
  </si>
  <si>
    <t>Notebook</t>
  </si>
  <si>
    <t>Pisos</t>
  </si>
  <si>
    <t>Activo</t>
  </si>
  <si>
    <t xml:space="preserve">Valor de Adquisición </t>
  </si>
  <si>
    <t>Vida Utilizada</t>
  </si>
  <si>
    <t>Saldo Vida Util</t>
  </si>
  <si>
    <t>Depreciacion Acumulada</t>
  </si>
  <si>
    <t>Valor Libro</t>
  </si>
  <si>
    <t>Años</t>
  </si>
  <si>
    <t>Vida Útil Meses</t>
  </si>
  <si>
    <t>Total Vida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</si>
  <si>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</si>
  <si>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</si>
  <si>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</si>
  <si>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</si>
  <si>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</si>
  <si>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</si>
  <si>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</si>
  <si>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</si>
  <si>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</si>
  <si>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</si>
  <si>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</si>
  <si>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</si>
  <si>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Depr. Acum.</t>
  </si>
  <si>
    <t>Cuota Depr</t>
  </si>
  <si>
    <t>Fact.</t>
  </si>
  <si>
    <t>Fecha</t>
  </si>
  <si>
    <t>Capital</t>
  </si>
  <si>
    <t>Libro de Remuneraciones</t>
  </si>
  <si>
    <t>Nombre</t>
  </si>
  <si>
    <t>Rut</t>
  </si>
  <si>
    <t>Dias Trabajados</t>
  </si>
  <si>
    <t>Sueldo alcanzado</t>
  </si>
  <si>
    <t>Gratificación</t>
  </si>
  <si>
    <t>Monto Horas Extra</t>
  </si>
  <si>
    <t>Otros Imp</t>
  </si>
  <si>
    <t>Base Imp</t>
  </si>
  <si>
    <t>Asig. Familiar</t>
  </si>
  <si>
    <t>Movilización</t>
  </si>
  <si>
    <t>Colación</t>
  </si>
  <si>
    <t>Otros No Imp.</t>
  </si>
  <si>
    <t>Total Haber</t>
  </si>
  <si>
    <t>Monto AFP</t>
  </si>
  <si>
    <t>AFC</t>
  </si>
  <si>
    <t>Ins. Salud</t>
  </si>
  <si>
    <t>Total Previsión</t>
  </si>
  <si>
    <t>Impto Único</t>
  </si>
  <si>
    <t>Otros Dscto</t>
  </si>
  <si>
    <t>Total Dscto</t>
  </si>
  <si>
    <t>Alcance Liquido</t>
  </si>
  <si>
    <t>Anticipos</t>
  </si>
  <si>
    <t>Liquido a Pagar</t>
  </si>
  <si>
    <t>PlanVital</t>
  </si>
  <si>
    <t>Fonasa</t>
  </si>
  <si>
    <t>Totales:</t>
  </si>
  <si>
    <t xml:space="preserve"> </t>
  </si>
  <si>
    <t>ISL</t>
  </si>
  <si>
    <t>Tasa</t>
  </si>
  <si>
    <t>SIS</t>
  </si>
  <si>
    <t>Salud</t>
  </si>
  <si>
    <t>Remuneraciones</t>
  </si>
  <si>
    <t>Cuenta Contable</t>
  </si>
  <si>
    <t>Cta</t>
  </si>
  <si>
    <t>Debe</t>
  </si>
  <si>
    <t>Haber</t>
  </si>
  <si>
    <t>REMUNERACIONES</t>
  </si>
  <si>
    <t>GRATIFICACION</t>
  </si>
  <si>
    <t>APORTE PATRONAL</t>
  </si>
  <si>
    <t>IMPOSICIONES POR PAGAR</t>
  </si>
  <si>
    <t>REMUNERACIONES POR PAGAR</t>
  </si>
  <si>
    <t>CAJA</t>
  </si>
  <si>
    <t>AFP</t>
  </si>
  <si>
    <t xml:space="preserve"> Salud</t>
  </si>
  <si>
    <t>Costo Trabajador</t>
  </si>
  <si>
    <t>Tope</t>
  </si>
  <si>
    <t>Boleta</t>
  </si>
  <si>
    <t>Emisor</t>
  </si>
  <si>
    <t>Honorarios</t>
  </si>
  <si>
    <t>N°</t>
  </si>
  <si>
    <t>Estado</t>
  </si>
  <si>
    <t>Fecha Anulación</t>
  </si>
  <si>
    <t>Nombre o Razón Social</t>
  </si>
  <si>
    <t>Soc. Prof.</t>
  </si>
  <si>
    <t>Brutos</t>
  </si>
  <si>
    <t>Retenido</t>
  </si>
  <si>
    <t>Pagado</t>
  </si>
  <si>
    <t>Totales :</t>
  </si>
  <si>
    <t>Detalle</t>
  </si>
  <si>
    <t>Costo Uni</t>
  </si>
  <si>
    <t>Café Instantaneo</t>
  </si>
  <si>
    <t>Leche</t>
  </si>
  <si>
    <t>Total Litros</t>
  </si>
  <si>
    <t>Gramos</t>
  </si>
  <si>
    <t>Total Gramos</t>
  </si>
  <si>
    <t>ML</t>
  </si>
  <si>
    <t>Endulzantes</t>
  </si>
  <si>
    <t>Azucar</t>
  </si>
  <si>
    <t xml:space="preserve">Costo </t>
  </si>
  <si>
    <t>Ml</t>
  </si>
  <si>
    <t>Un</t>
  </si>
  <si>
    <t>Vase Desechable</t>
  </si>
  <si>
    <t>Servilletas</t>
  </si>
  <si>
    <t>Cucharitas</t>
  </si>
  <si>
    <t>Total de Tazas de Café</t>
  </si>
  <si>
    <t>Jornada</t>
  </si>
  <si>
    <t>Horas Semanales</t>
  </si>
  <si>
    <t>Dias</t>
  </si>
  <si>
    <t>Horas Diarias</t>
  </si>
  <si>
    <t>Horas Trabajadas</t>
  </si>
  <si>
    <t>Tiempo Otras Actividades</t>
  </si>
  <si>
    <t>Horas Efectivas</t>
  </si>
  <si>
    <t>Costo por Hora</t>
  </si>
  <si>
    <t>Total Mensual</t>
  </si>
  <si>
    <t>Semanas</t>
  </si>
  <si>
    <t>Total Horas Semanales</t>
  </si>
  <si>
    <t>Horas Diarias Semana</t>
  </si>
  <si>
    <t>Horas Diarias Fin de Semana</t>
  </si>
  <si>
    <t>Total Horas Fin de Semana</t>
  </si>
  <si>
    <t>Día Fin de Semana</t>
  </si>
  <si>
    <t>Total Horas</t>
  </si>
  <si>
    <t>Total Días</t>
  </si>
  <si>
    <t>Días Mensuales</t>
  </si>
  <si>
    <t>Tiempo Efectivo</t>
  </si>
  <si>
    <t>Días de Semana</t>
  </si>
  <si>
    <t>Total Horas Mensuales</t>
  </si>
  <si>
    <t>Total Producción</t>
  </si>
  <si>
    <t>Gastos Fijos Mensuales</t>
  </si>
  <si>
    <t>Gastos Mensual</t>
  </si>
  <si>
    <t>Agua</t>
  </si>
  <si>
    <t>Luz</t>
  </si>
  <si>
    <t>Gas</t>
  </si>
  <si>
    <t>Internet-Televisión-Telefonía</t>
  </si>
  <si>
    <t>Total Otros Gastos</t>
  </si>
  <si>
    <t>Barista</t>
  </si>
  <si>
    <t>Gastos Fijos</t>
  </si>
  <si>
    <t>Patente</t>
  </si>
  <si>
    <t>Sueldo Barista</t>
  </si>
  <si>
    <t>Café Con Leche</t>
  </si>
  <si>
    <t>Gasto Fijo</t>
  </si>
  <si>
    <t>Productos</t>
  </si>
  <si>
    <t>Gasto Fijos</t>
  </si>
  <si>
    <t>Gasto Fijo Unitario</t>
  </si>
  <si>
    <t>Cantidad de Proctuctos</t>
  </si>
  <si>
    <t>Producto</t>
  </si>
  <si>
    <t>Costos</t>
  </si>
  <si>
    <t>Mercaderia Directa</t>
  </si>
  <si>
    <t>Empaques Indirecta</t>
  </si>
  <si>
    <t>Análisis de Costo Producto</t>
  </si>
  <si>
    <t>Flujo de Costo Producto</t>
  </si>
  <si>
    <t>Flujo Consolidado de Productos</t>
  </si>
  <si>
    <t xml:space="preserve">unidades de tazas de café Normal y </t>
  </si>
  <si>
    <t>unidades de tazas de café con leche</t>
  </si>
  <si>
    <t>La cafetería proyecta vender</t>
  </si>
  <si>
    <t>M. Utilidad</t>
  </si>
  <si>
    <t>Costo Fijo unitario</t>
  </si>
  <si>
    <t>Margen de beneficio Neto</t>
  </si>
  <si>
    <t>Valida Costo Prod</t>
  </si>
  <si>
    <t>Cafeteras</t>
  </si>
  <si>
    <t>Distribución</t>
  </si>
  <si>
    <t>Depreciación</t>
  </si>
  <si>
    <t>Permisos</t>
  </si>
  <si>
    <t>Constitución</t>
  </si>
  <si>
    <t>Margen</t>
  </si>
  <si>
    <t>Mergen</t>
  </si>
  <si>
    <t xml:space="preserve">El precio de venta neto de la tazas de café es de </t>
  </si>
  <si>
    <t>Iva</t>
  </si>
  <si>
    <t>Tasa de Iva</t>
  </si>
  <si>
    <t>Flujo Proyectado en 12 meses.</t>
  </si>
  <si>
    <t>Flujo en años</t>
  </si>
  <si>
    <t>Crecimiento</t>
  </si>
  <si>
    <t>Periodos</t>
  </si>
  <si>
    <t>Año 1</t>
  </si>
  <si>
    <t xml:space="preserve">Año 2 </t>
  </si>
  <si>
    <t>Año 3</t>
  </si>
  <si>
    <t>(=) Ingreso Bruto</t>
  </si>
  <si>
    <t>(=) Total Gastos</t>
  </si>
  <si>
    <t>(=) Total Egresos</t>
  </si>
  <si>
    <t>(=) Flujo Liquido</t>
  </si>
  <si>
    <t>Interés</t>
  </si>
  <si>
    <t>Inversiones</t>
  </si>
  <si>
    <t>(-) Inversiones</t>
  </si>
  <si>
    <t>(=) Total Inversiones</t>
  </si>
  <si>
    <t>(=) Flujo Caja Neto</t>
  </si>
  <si>
    <t>Préstamo</t>
  </si>
  <si>
    <t>(+) Inversión</t>
  </si>
  <si>
    <t>(+) Interes</t>
  </si>
  <si>
    <t xml:space="preserve">(=) FC Neto </t>
  </si>
  <si>
    <t>Tasa de Descuenta</t>
  </si>
  <si>
    <t>VAN</t>
  </si>
  <si>
    <t>TIR</t>
  </si>
  <si>
    <t>Payback</t>
  </si>
  <si>
    <t>Inversión</t>
  </si>
  <si>
    <t>Veces</t>
  </si>
  <si>
    <t>Flujos</t>
  </si>
  <si>
    <t>Meses</t>
  </si>
  <si>
    <t>Cantidad Vendida Café</t>
  </si>
  <si>
    <t>Precio de Venta Café</t>
  </si>
  <si>
    <t>Costo Unitario Café con Leche</t>
  </si>
  <si>
    <t>Costo Unitario Café</t>
  </si>
  <si>
    <t>Ingresos Café</t>
  </si>
  <si>
    <t>Costos Variable Café</t>
  </si>
  <si>
    <t>(=) Total Costos</t>
  </si>
  <si>
    <t>(=) Ingreso Neto</t>
  </si>
  <si>
    <t>Cajera</t>
  </si>
  <si>
    <t>Sueldo Cajera Administrativa</t>
  </si>
  <si>
    <t>Gastos Administración y Ventas</t>
  </si>
  <si>
    <t>Depreciaciones</t>
  </si>
  <si>
    <t>para obtener una utilidad de cobertura</t>
  </si>
  <si>
    <t>Utilidad de Cobertura</t>
  </si>
  <si>
    <t>Cash Flow</t>
  </si>
  <si>
    <t>Días de Recuperación</t>
  </si>
  <si>
    <t>Costo Baristas</t>
  </si>
  <si>
    <t>Atención</t>
  </si>
  <si>
    <t>Promedio</t>
  </si>
  <si>
    <t>Capacidad Productiva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</si>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</sst>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;[Red]&quot;$&quot;\-#,##0.00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0_ ;[Red]\-0\ "/>
    <numFmt numFmtId="165" formatCode="#,##0_ ;[Red]\-#,##0\ "/>
    <numFmt numFmtId="166" formatCode="#,##0.0_ ;[Red]\-#,##0.0\ "/>
    <numFmt numFmtId="167" formatCode="_ * #,##0.00_ ;_ * \-#,##0.00_ ;_ * &quot;-&quot;_ ;_ @_ "/>
    <numFmt numFmtId="168" formatCode="_ * #,##0.0_ ;_ * \-#,##0.0_ ;_ * &quot;-&quot;_ ;_ @_ "/>
    <numFmt numFmtId="169" formatCode="_ * #,##0.0_ ;_ * \-#,##0.0_ ;_ * &quot;-&quot;?_ ;_ @_ "/>
    <numFmt numFmtId="170" formatCode="#,##0.00_ ;[Red]\-#,##0.00\ "/>
    <numFmt numFmtId="173" formatCode="_-* #,##0_-;\-* #,##0_-;_-* &quot;-&quot;??_-;_-@_-"/>
    <numFmt numFmtId="174" formatCode="0.0"/>
    <numFmt numFmtId="17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2"/>
      <name val="Courier"/>
    </font>
    <font>
      <sz val="9"/>
      <color indexed="8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sz val="11"/>
      <color rgb="FF002060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rgb="FF002060"/>
      <name val="Times New Roman"/>
      <family val="1"/>
    </font>
    <font>
      <b/>
      <sz val="11"/>
      <color rgb="FF002060"/>
      <name val="Times New Roman"/>
      <family val="1"/>
    </font>
    <font>
      <sz val="11"/>
      <color rgb="FF00968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8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15">
    <xf numFmtId="0" fontId="0" fillId="0" borderId="0" xfId="0"/>
    <xf numFmtId="0" fontId="2" fillId="0" borderId="0" xfId="0" applyFont="1"/>
    <xf numFmtId="41" fontId="3" fillId="0" borderId="0" xfId="1" applyFont="1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/>
    <xf numFmtId="41" fontId="2" fillId="0" borderId="2" xfId="0" applyNumberFormat="1" applyFont="1" applyBorder="1"/>
    <xf numFmtId="165" fontId="3" fillId="0" borderId="0" xfId="0" applyNumberFormat="1" applyFont="1"/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3" fillId="0" borderId="4" xfId="0" applyFont="1" applyBorder="1"/>
    <xf numFmtId="165" fontId="3" fillId="0" borderId="5" xfId="0" applyNumberFormat="1" applyFont="1" applyBorder="1"/>
    <xf numFmtId="165" fontId="3" fillId="0" borderId="6" xfId="0" applyNumberFormat="1" applyFont="1" applyBorder="1"/>
    <xf numFmtId="0" fontId="3" fillId="0" borderId="7" xfId="0" applyFont="1" applyBorder="1"/>
    <xf numFmtId="165" fontId="3" fillId="0" borderId="8" xfId="0" applyNumberFormat="1" applyFont="1" applyBorder="1"/>
    <xf numFmtId="165" fontId="2" fillId="0" borderId="2" xfId="0" applyNumberFormat="1" applyFont="1" applyBorder="1"/>
    <xf numFmtId="165" fontId="2" fillId="0" borderId="3" xfId="0" applyNumberFormat="1" applyFont="1" applyBorder="1"/>
    <xf numFmtId="165" fontId="2" fillId="0" borderId="0" xfId="0" applyNumberFormat="1" applyFont="1"/>
    <xf numFmtId="165" fontId="2" fillId="0" borderId="10" xfId="0" applyNumberFormat="1" applyFont="1" applyBorder="1" applyAlignment="1">
      <alignment horizontal="center"/>
    </xf>
    <xf numFmtId="165" fontId="3" fillId="0" borderId="11" xfId="0" applyNumberFormat="1" applyFont="1" applyBorder="1"/>
    <xf numFmtId="166" fontId="2" fillId="0" borderId="2" xfId="0" applyNumberFormat="1" applyFont="1" applyBorder="1"/>
    <xf numFmtId="0" fontId="3" fillId="0" borderId="12" xfId="0" applyFont="1" applyBorder="1"/>
    <xf numFmtId="41" fontId="2" fillId="0" borderId="3" xfId="0" applyNumberFormat="1" applyFont="1" applyBorder="1"/>
    <xf numFmtId="164" fontId="3" fillId="0" borderId="0" xfId="0" applyNumberFormat="1" applyFont="1" applyAlignment="1">
      <alignment horizontal="right"/>
    </xf>
    <xf numFmtId="165" fontId="3" fillId="0" borderId="9" xfId="0" applyNumberFormat="1" applyFont="1" applyBorder="1"/>
    <xf numFmtId="168" fontId="2" fillId="0" borderId="2" xfId="0" applyNumberFormat="1" applyFont="1" applyBorder="1"/>
    <xf numFmtId="168" fontId="2" fillId="0" borderId="10" xfId="0" applyNumberFormat="1" applyFont="1" applyBorder="1"/>
    <xf numFmtId="41" fontId="2" fillId="0" borderId="10" xfId="1" applyFont="1" applyBorder="1"/>
    <xf numFmtId="164" fontId="2" fillId="0" borderId="2" xfId="0" applyNumberFormat="1" applyFont="1" applyBorder="1"/>
    <xf numFmtId="166" fontId="3" fillId="0" borderId="0" xfId="0" applyNumberFormat="1" applyFont="1"/>
    <xf numFmtId="166" fontId="3" fillId="0" borderId="5" xfId="0" applyNumberFormat="1" applyFont="1" applyBorder="1"/>
    <xf numFmtId="166" fontId="3" fillId="0" borderId="14" xfId="0" applyNumberFormat="1" applyFont="1" applyBorder="1"/>
    <xf numFmtId="166" fontId="3" fillId="0" borderId="8" xfId="0" applyNumberFormat="1" applyFont="1" applyBorder="1"/>
    <xf numFmtId="41" fontId="3" fillId="0" borderId="5" xfId="0" applyNumberFormat="1" applyFont="1" applyBorder="1"/>
    <xf numFmtId="166" fontId="2" fillId="0" borderId="10" xfId="0" applyNumberFormat="1" applyFont="1" applyBorder="1"/>
    <xf numFmtId="0" fontId="2" fillId="0" borderId="10" xfId="0" applyFont="1" applyBorder="1"/>
    <xf numFmtId="41" fontId="3" fillId="0" borderId="0" xfId="1" applyFont="1" applyBorder="1"/>
    <xf numFmtId="164" fontId="2" fillId="0" borderId="9" xfId="0" applyNumberFormat="1" applyFont="1" applyBorder="1"/>
    <xf numFmtId="164" fontId="3" fillId="0" borderId="0" xfId="1" applyNumberFormat="1" applyFont="1" applyBorder="1"/>
    <xf numFmtId="165" fontId="3" fillId="0" borderId="14" xfId="0" applyNumberFormat="1" applyFont="1" applyBorder="1"/>
    <xf numFmtId="165" fontId="2" fillId="0" borderId="10" xfId="0" applyNumberFormat="1" applyFont="1" applyBorder="1"/>
    <xf numFmtId="0" fontId="3" fillId="0" borderId="14" xfId="0" applyFont="1" applyBorder="1"/>
    <xf numFmtId="41" fontId="3" fillId="0" borderId="14" xfId="1" applyFont="1" applyBorder="1"/>
    <xf numFmtId="0" fontId="2" fillId="0" borderId="14" xfId="0" applyFont="1" applyBorder="1"/>
    <xf numFmtId="0" fontId="3" fillId="0" borderId="9" xfId="0" applyFont="1" applyBorder="1"/>
    <xf numFmtId="41" fontId="3" fillId="0" borderId="9" xfId="1" applyFont="1" applyBorder="1"/>
    <xf numFmtId="0" fontId="3" fillId="0" borderId="21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165" fontId="2" fillId="0" borderId="21" xfId="0" applyNumberFormat="1" applyFont="1" applyBorder="1"/>
    <xf numFmtId="0" fontId="3" fillId="0" borderId="8" xfId="0" applyFont="1" applyBorder="1"/>
    <xf numFmtId="168" fontId="2" fillId="0" borderId="0" xfId="0" applyNumberFormat="1" applyFont="1"/>
    <xf numFmtId="0" fontId="4" fillId="3" borderId="1" xfId="0" applyFont="1" applyFill="1" applyBorder="1"/>
    <xf numFmtId="0" fontId="4" fillId="3" borderId="3" xfId="0" applyFont="1" applyFill="1" applyBorder="1"/>
    <xf numFmtId="0" fontId="4" fillId="3" borderId="10" xfId="0" applyFont="1" applyFill="1" applyBorder="1"/>
    <xf numFmtId="0" fontId="4" fillId="3" borderId="2" xfId="0" applyFont="1" applyFill="1" applyBorder="1"/>
    <xf numFmtId="41" fontId="3" fillId="0" borderId="5" xfId="1" applyFont="1" applyBorder="1"/>
    <xf numFmtId="41" fontId="3" fillId="2" borderId="5" xfId="1" applyFont="1" applyFill="1" applyBorder="1"/>
    <xf numFmtId="41" fontId="3" fillId="0" borderId="8" xfId="1" applyFont="1" applyBorder="1"/>
    <xf numFmtId="0" fontId="2" fillId="0" borderId="7" xfId="0" applyFont="1" applyBorder="1"/>
    <xf numFmtId="165" fontId="2" fillId="0" borderId="14" xfId="0" applyNumberFormat="1" applyFont="1" applyBorder="1"/>
    <xf numFmtId="165" fontId="2" fillId="0" borderId="8" xfId="0" applyNumberFormat="1" applyFont="1" applyBorder="1"/>
    <xf numFmtId="165" fontId="2" fillId="0" borderId="5" xfId="0" applyNumberFormat="1" applyFont="1" applyBorder="1"/>
    <xf numFmtId="165" fontId="3" fillId="0" borderId="21" xfId="0" applyNumberFormat="1" applyFont="1" applyBorder="1"/>
    <xf numFmtId="41" fontId="3" fillId="0" borderId="0" xfId="0" applyNumberFormat="1" applyFont="1"/>
    <xf numFmtId="0" fontId="3" fillId="0" borderId="12" xfId="0" applyFont="1" applyBorder="1" applyAlignment="1">
      <alignment horizontal="center"/>
    </xf>
    <xf numFmtId="165" fontId="2" fillId="0" borderId="4" xfId="0" applyNumberFormat="1" applyFont="1" applyBorder="1"/>
    <xf numFmtId="10" fontId="2" fillId="0" borderId="0" xfId="0" applyNumberFormat="1" applyFont="1"/>
    <xf numFmtId="164" fontId="2" fillId="0" borderId="4" xfId="0" applyNumberFormat="1" applyFont="1" applyBorder="1"/>
    <xf numFmtId="165" fontId="2" fillId="0" borderId="7" xfId="0" applyNumberFormat="1" applyFont="1" applyBorder="1"/>
    <xf numFmtId="41" fontId="3" fillId="0" borderId="14" xfId="0" applyNumberFormat="1" applyFont="1" applyBorder="1"/>
    <xf numFmtId="165" fontId="3" fillId="0" borderId="9" xfId="0" applyNumberFormat="1" applyFont="1" applyBorder="1" applyAlignment="1">
      <alignment horizontal="right"/>
    </xf>
    <xf numFmtId="10" fontId="3" fillId="0" borderId="9" xfId="2" applyNumberFormat="1" applyFont="1" applyBorder="1"/>
    <xf numFmtId="0" fontId="3" fillId="0" borderId="1" xfId="0" applyFont="1" applyBorder="1" applyAlignment="1">
      <alignment horizontal="center"/>
    </xf>
    <xf numFmtId="41" fontId="3" fillId="0" borderId="10" xfId="0" applyNumberFormat="1" applyFont="1" applyBorder="1" applyAlignment="1">
      <alignment horizontal="left"/>
    </xf>
    <xf numFmtId="41" fontId="3" fillId="0" borderId="0" xfId="1" applyFont="1" applyBorder="1" applyAlignment="1">
      <alignment horizontal="left"/>
    </xf>
    <xf numFmtId="167" fontId="3" fillId="0" borderId="5" xfId="1" applyNumberFormat="1" applyFont="1" applyBorder="1"/>
    <xf numFmtId="0" fontId="3" fillId="0" borderId="4" xfId="0" applyFont="1" applyBorder="1" applyAlignment="1">
      <alignment horizontal="center"/>
    </xf>
    <xf numFmtId="168" fontId="3" fillId="0" borderId="5" xfId="0" applyNumberFormat="1" applyFont="1" applyBorder="1"/>
    <xf numFmtId="168" fontId="3" fillId="0" borderId="0" xfId="1" applyNumberFormat="1" applyFont="1" applyBorder="1"/>
    <xf numFmtId="168" fontId="3" fillId="0" borderId="0" xfId="0" applyNumberFormat="1" applyFont="1"/>
    <xf numFmtId="169" fontId="3" fillId="0" borderId="4" xfId="0" applyNumberFormat="1" applyFont="1" applyBorder="1"/>
    <xf numFmtId="41" fontId="3" fillId="0" borderId="4" xfId="0" applyNumberFormat="1" applyFont="1" applyBorder="1"/>
    <xf numFmtId="43" fontId="3" fillId="0" borderId="0" xfId="0" applyNumberFormat="1" applyFont="1"/>
    <xf numFmtId="169" fontId="3" fillId="0" borderId="0" xfId="0" applyNumberFormat="1" applyFont="1"/>
    <xf numFmtId="170" fontId="5" fillId="0" borderId="0" xfId="0" applyNumberFormat="1" applyFont="1"/>
    <xf numFmtId="0" fontId="5" fillId="0" borderId="0" xfId="0" applyFont="1"/>
    <xf numFmtId="41" fontId="4" fillId="3" borderId="10" xfId="1" applyFont="1" applyFill="1" applyBorder="1"/>
    <xf numFmtId="0" fontId="6" fillId="3" borderId="21" xfId="0" applyFont="1" applyFill="1" applyBorder="1"/>
    <xf numFmtId="0" fontId="2" fillId="0" borderId="15" xfId="0" applyFont="1" applyBorder="1"/>
    <xf numFmtId="41" fontId="2" fillId="0" borderId="16" xfId="1" applyFont="1" applyBorder="1"/>
    <xf numFmtId="0" fontId="2" fillId="0" borderId="17" xfId="0" applyFont="1" applyBorder="1"/>
    <xf numFmtId="41" fontId="2" fillId="0" borderId="18" xfId="1" applyFont="1" applyBorder="1"/>
    <xf numFmtId="0" fontId="2" fillId="0" borderId="19" xfId="0" applyFont="1" applyBorder="1"/>
    <xf numFmtId="41" fontId="2" fillId="0" borderId="20" xfId="1" applyFont="1" applyBorder="1"/>
    <xf numFmtId="0" fontId="4" fillId="3" borderId="1" xfId="0" applyFont="1" applyFill="1" applyBorder="1" applyAlignment="1">
      <alignment horizontal="center"/>
    </xf>
    <xf numFmtId="41" fontId="3" fillId="0" borderId="21" xfId="1" applyFont="1" applyBorder="1"/>
    <xf numFmtId="164" fontId="3" fillId="0" borderId="7" xfId="0" applyNumberFormat="1" applyFont="1" applyBorder="1"/>
    <xf numFmtId="41" fontId="2" fillId="0" borderId="21" xfId="1" applyFont="1" applyBorder="1"/>
    <xf numFmtId="0" fontId="2" fillId="2" borderId="4" xfId="0" applyFont="1" applyFill="1" applyBorder="1"/>
    <xf numFmtId="165" fontId="2" fillId="2" borderId="0" xfId="0" applyNumberFormat="1" applyFont="1" applyFill="1"/>
    <xf numFmtId="165" fontId="3" fillId="2" borderId="13" xfId="0" applyNumberFormat="1" applyFont="1" applyFill="1" applyBorder="1"/>
    <xf numFmtId="41" fontId="3" fillId="2" borderId="11" xfId="0" applyNumberFormat="1" applyFont="1" applyFill="1" applyBorder="1"/>
    <xf numFmtId="0" fontId="10" fillId="0" borderId="0" xfId="0" applyFont="1"/>
    <xf numFmtId="165" fontId="11" fillId="0" borderId="0" xfId="4" applyNumberFormat="1" applyFont="1" applyBorder="1" applyAlignment="1">
      <alignment horizontal="center" vertical="center"/>
    </xf>
    <xf numFmtId="0" fontId="12" fillId="3" borderId="0" xfId="5" applyFont="1" applyFill="1"/>
    <xf numFmtId="165" fontId="12" fillId="3" borderId="0" xfId="5" applyNumberFormat="1" applyFont="1" applyFill="1"/>
    <xf numFmtId="0" fontId="12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4" fillId="0" borderId="0" xfId="0" applyNumberFormat="1" applyFont="1"/>
    <xf numFmtId="0" fontId="15" fillId="0" borderId="0" xfId="0" applyFont="1" applyAlignment="1">
      <alignment horizontal="center" vertical="center"/>
    </xf>
    <xf numFmtId="165" fontId="16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165" fontId="11" fillId="4" borderId="0" xfId="0" applyNumberFormat="1" applyFont="1" applyFill="1"/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165" fontId="11" fillId="4" borderId="14" xfId="0" applyNumberFormat="1" applyFont="1" applyFill="1" applyBorder="1"/>
    <xf numFmtId="165" fontId="11" fillId="0" borderId="14" xfId="0" applyNumberFormat="1" applyFont="1" applyBorder="1" applyAlignment="1">
      <alignment horizontal="center" vertical="center"/>
    </xf>
    <xf numFmtId="173" fontId="10" fillId="0" borderId="0" xfId="3" applyNumberFormat="1" applyFont="1"/>
    <xf numFmtId="173" fontId="18" fillId="0" borderId="0" xfId="3" applyNumberFormat="1" applyFont="1" applyBorder="1"/>
    <xf numFmtId="173" fontId="18" fillId="0" borderId="14" xfId="3" applyNumberFormat="1" applyFont="1" applyBorder="1"/>
    <xf numFmtId="165" fontId="10" fillId="0" borderId="0" xfId="0" applyNumberFormat="1" applyFont="1"/>
    <xf numFmtId="0" fontId="17" fillId="0" borderId="1" xfId="0" applyFont="1" applyBorder="1"/>
    <xf numFmtId="41" fontId="17" fillId="0" borderId="10" xfId="1" applyFont="1" applyBorder="1"/>
    <xf numFmtId="173" fontId="18" fillId="0" borderId="10" xfId="3" applyNumberFormat="1" applyFont="1" applyFill="1" applyBorder="1"/>
    <xf numFmtId="0" fontId="18" fillId="0" borderId="0" xfId="0" applyFont="1"/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165" fontId="12" fillId="3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165" fontId="10" fillId="0" borderId="0" xfId="3" applyNumberFormat="1" applyFont="1" applyFill="1" applyBorder="1" applyAlignment="1">
      <alignment horizontal="right"/>
    </xf>
    <xf numFmtId="165" fontId="10" fillId="0" borderId="0" xfId="0" applyNumberFormat="1" applyFont="1" applyAlignment="1">
      <alignment horizontal="right" vertical="center"/>
    </xf>
    <xf numFmtId="41" fontId="18" fillId="0" borderId="10" xfId="1" applyFont="1" applyFill="1" applyBorder="1" applyAlignment="1">
      <alignment horizontal="right"/>
    </xf>
    <xf numFmtId="165" fontId="10" fillId="0" borderId="0" xfId="3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165" fontId="18" fillId="0" borderId="10" xfId="4" applyNumberFormat="1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2" fillId="3" borderId="10" xfId="0" applyFont="1" applyFill="1" applyBorder="1"/>
    <xf numFmtId="173" fontId="12" fillId="3" borderId="10" xfId="3" applyNumberFormat="1" applyFont="1" applyFill="1" applyBorder="1"/>
    <xf numFmtId="0" fontId="18" fillId="0" borderId="9" xfId="0" applyFont="1" applyBorder="1"/>
    <xf numFmtId="173" fontId="18" fillId="0" borderId="9" xfId="3" applyNumberFormat="1" applyFont="1" applyBorder="1"/>
    <xf numFmtId="0" fontId="18" fillId="0" borderId="0" xfId="0" applyFont="1" applyAlignment="1">
      <alignment horizontal="center"/>
    </xf>
    <xf numFmtId="0" fontId="12" fillId="3" borderId="10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center"/>
    </xf>
    <xf numFmtId="10" fontId="10" fillId="0" borderId="0" xfId="0" applyNumberFormat="1" applyFont="1" applyAlignment="1">
      <alignment horizontal="left"/>
    </xf>
    <xf numFmtId="173" fontId="10" fillId="0" borderId="0" xfId="0" applyNumberFormat="1" applyFont="1" applyAlignment="1">
      <alignment horizontal="left"/>
    </xf>
    <xf numFmtId="10" fontId="18" fillId="0" borderId="9" xfId="0" applyNumberFormat="1" applyFont="1" applyBorder="1" applyAlignment="1">
      <alignment horizontal="left"/>
    </xf>
    <xf numFmtId="173" fontId="18" fillId="0" borderId="9" xfId="0" applyNumberFormat="1" applyFont="1" applyBorder="1" applyAlignment="1">
      <alignment horizontal="left"/>
    </xf>
    <xf numFmtId="173" fontId="10" fillId="0" borderId="0" xfId="0" applyNumberFormat="1" applyFont="1"/>
    <xf numFmtId="173" fontId="18" fillId="0" borderId="0" xfId="0" applyNumberFormat="1" applyFont="1" applyAlignment="1">
      <alignment horizontal="left"/>
    </xf>
    <xf numFmtId="10" fontId="18" fillId="0" borderId="10" xfId="0" applyNumberFormat="1" applyFont="1" applyBorder="1" applyAlignment="1">
      <alignment horizontal="left"/>
    </xf>
    <xf numFmtId="173" fontId="18" fillId="0" borderId="10" xfId="0" applyNumberFormat="1" applyFont="1" applyBorder="1" applyAlignment="1">
      <alignment horizontal="left"/>
    </xf>
    <xf numFmtId="165" fontId="12" fillId="3" borderId="10" xfId="0" applyNumberFormat="1" applyFont="1" applyFill="1" applyBorder="1" applyAlignment="1">
      <alignment horizontal="center"/>
    </xf>
    <xf numFmtId="164" fontId="10" fillId="0" borderId="0" xfId="0" applyNumberFormat="1" applyFont="1"/>
    <xf numFmtId="173" fontId="18" fillId="0" borderId="10" xfId="0" applyNumberFormat="1" applyFont="1" applyBorder="1"/>
    <xf numFmtId="173" fontId="18" fillId="0" borderId="0" xfId="0" applyNumberFormat="1" applyFont="1"/>
    <xf numFmtId="174" fontId="21" fillId="0" borderId="0" xfId="1" applyNumberFormat="1" applyFont="1"/>
    <xf numFmtId="9" fontId="10" fillId="0" borderId="0" xfId="0" applyNumberFormat="1" applyFont="1"/>
    <xf numFmtId="10" fontId="18" fillId="0" borderId="0" xfId="2" applyNumberFormat="1" applyFont="1"/>
    <xf numFmtId="0" fontId="12" fillId="3" borderId="2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14" fontId="10" fillId="0" borderId="0" xfId="0" applyNumberFormat="1" applyFont="1" applyAlignment="1">
      <alignment wrapText="1"/>
    </xf>
    <xf numFmtId="165" fontId="12" fillId="3" borderId="22" xfId="0" applyNumberFormat="1" applyFont="1" applyFill="1" applyBorder="1" applyAlignment="1">
      <alignment horizontal="center" wrapText="1"/>
    </xf>
    <xf numFmtId="165" fontId="10" fillId="0" borderId="0" xfId="0" applyNumberFormat="1" applyFont="1" applyAlignment="1">
      <alignment horizontal="right" wrapText="1"/>
    </xf>
    <xf numFmtId="0" fontId="12" fillId="3" borderId="28" xfId="0" applyFont="1" applyFill="1" applyBorder="1" applyAlignment="1">
      <alignment horizontal="center" wrapText="1"/>
    </xf>
    <xf numFmtId="165" fontId="12" fillId="3" borderId="29" xfId="0" applyNumberFormat="1" applyFont="1" applyFill="1" applyBorder="1" applyAlignment="1">
      <alignment horizontal="center" wrapText="1"/>
    </xf>
    <xf numFmtId="0" fontId="10" fillId="0" borderId="4" xfId="0" applyFont="1" applyBorder="1" applyAlignment="1">
      <alignment wrapText="1"/>
    </xf>
    <xf numFmtId="165" fontId="10" fillId="0" borderId="5" xfId="0" applyNumberFormat="1" applyFont="1" applyBorder="1" applyAlignment="1">
      <alignment horizontal="right" wrapText="1"/>
    </xf>
    <xf numFmtId="0" fontId="18" fillId="0" borderId="9" xfId="0" applyFont="1" applyBorder="1" applyAlignment="1">
      <alignment wrapText="1"/>
    </xf>
    <xf numFmtId="0" fontId="18" fillId="0" borderId="1" xfId="0" applyFont="1" applyBorder="1" applyAlignment="1">
      <alignment wrapText="1"/>
    </xf>
    <xf numFmtId="165" fontId="18" fillId="0" borderId="10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12" fillId="3" borderId="30" xfId="0" applyFont="1" applyFill="1" applyBorder="1"/>
    <xf numFmtId="165" fontId="12" fillId="3" borderId="10" xfId="0" applyNumberFormat="1" applyFont="1" applyFill="1" applyBorder="1"/>
    <xf numFmtId="173" fontId="10" fillId="0" borderId="0" xfId="3" applyNumberFormat="1" applyFont="1" applyBorder="1"/>
    <xf numFmtId="165" fontId="10" fillId="0" borderId="0" xfId="4" applyNumberFormat="1" applyFont="1" applyBorder="1" applyAlignment="1">
      <alignment horizontal="center"/>
    </xf>
    <xf numFmtId="173" fontId="19" fillId="0" borderId="10" xfId="3" applyNumberFormat="1" applyFont="1" applyFill="1" applyBorder="1"/>
    <xf numFmtId="0" fontId="19" fillId="0" borderId="10" xfId="0" applyFont="1" applyBorder="1"/>
    <xf numFmtId="165" fontId="19" fillId="0" borderId="10" xfId="4" applyNumberFormat="1" applyFont="1" applyFill="1" applyBorder="1"/>
    <xf numFmtId="165" fontId="19" fillId="0" borderId="10" xfId="4" applyNumberFormat="1" applyFont="1" applyFill="1" applyBorder="1" applyAlignment="1">
      <alignment horizontal="center"/>
    </xf>
    <xf numFmtId="166" fontId="12" fillId="3" borderId="10" xfId="0" applyNumberFormat="1" applyFont="1" applyFill="1" applyBorder="1" applyAlignment="1">
      <alignment horizontal="center"/>
    </xf>
    <xf numFmtId="166" fontId="10" fillId="0" borderId="0" xfId="4" applyNumberFormat="1" applyFont="1" applyBorder="1" applyAlignment="1">
      <alignment horizontal="center"/>
    </xf>
    <xf numFmtId="166" fontId="19" fillId="0" borderId="10" xfId="4" applyNumberFormat="1" applyFont="1" applyFill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9" fillId="0" borderId="1" xfId="0" applyFont="1" applyBorder="1"/>
    <xf numFmtId="166" fontId="3" fillId="0" borderId="0" xfId="0" applyNumberFormat="1" applyFont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166" fontId="4" fillId="3" borderId="2" xfId="0" applyNumberFormat="1" applyFont="1" applyFill="1" applyBorder="1" applyAlignment="1">
      <alignment horizontal="center"/>
    </xf>
    <xf numFmtId="166" fontId="4" fillId="3" borderId="2" xfId="0" applyNumberFormat="1" applyFont="1" applyFill="1" applyBorder="1"/>
    <xf numFmtId="166" fontId="3" fillId="0" borderId="9" xfId="0" applyNumberFormat="1" applyFont="1" applyBorder="1" applyAlignment="1">
      <alignment horizontal="center"/>
    </xf>
    <xf numFmtId="166" fontId="3" fillId="0" borderId="21" xfId="1" applyNumberFormat="1" applyFont="1" applyBorder="1" applyAlignment="1"/>
    <xf numFmtId="166" fontId="3" fillId="0" borderId="5" xfId="1" applyNumberFormat="1" applyFont="1" applyBorder="1" applyAlignment="1"/>
    <xf numFmtId="166" fontId="19" fillId="0" borderId="2" xfId="4" applyNumberFormat="1" applyFont="1" applyFill="1" applyBorder="1" applyAlignment="1"/>
    <xf numFmtId="166" fontId="10" fillId="0" borderId="0" xfId="0" applyNumberFormat="1" applyFont="1"/>
    <xf numFmtId="0" fontId="12" fillId="3" borderId="1" xfId="0" applyFont="1" applyFill="1" applyBorder="1"/>
    <xf numFmtId="0" fontId="12" fillId="3" borderId="2" xfId="0" applyFont="1" applyFill="1" applyBorder="1"/>
    <xf numFmtId="41" fontId="10" fillId="0" borderId="5" xfId="1" applyFont="1" applyBorder="1"/>
    <xf numFmtId="0" fontId="18" fillId="0" borderId="12" xfId="0" applyFont="1" applyBorder="1"/>
    <xf numFmtId="41" fontId="18" fillId="0" borderId="21" xfId="1" applyFont="1" applyBorder="1"/>
    <xf numFmtId="41" fontId="10" fillId="0" borderId="0" xfId="0" applyNumberFormat="1" applyFont="1"/>
    <xf numFmtId="41" fontId="18" fillId="0" borderId="0" xfId="1" applyFont="1"/>
    <xf numFmtId="41" fontId="10" fillId="0" borderId="5" xfId="0" applyNumberFormat="1" applyFont="1" applyBorder="1"/>
    <xf numFmtId="0" fontId="18" fillId="0" borderId="1" xfId="0" applyFont="1" applyBorder="1"/>
    <xf numFmtId="41" fontId="18" fillId="0" borderId="2" xfId="1" applyFont="1" applyBorder="1"/>
    <xf numFmtId="0" fontId="10" fillId="0" borderId="9" xfId="0" applyFont="1" applyBorder="1"/>
    <xf numFmtId="41" fontId="18" fillId="0" borderId="9" xfId="0" applyNumberFormat="1" applyFont="1" applyBorder="1"/>
    <xf numFmtId="0" fontId="12" fillId="3" borderId="0" xfId="0" applyFont="1" applyFill="1"/>
    <xf numFmtId="0" fontId="19" fillId="0" borderId="10" xfId="0" applyFont="1" applyBorder="1" applyAlignment="1">
      <alignment wrapText="1"/>
    </xf>
    <xf numFmtId="165" fontId="12" fillId="3" borderId="0" xfId="0" applyNumberFormat="1" applyFont="1" applyFill="1" applyAlignment="1">
      <alignment horizontal="center" wrapText="1"/>
    </xf>
    <xf numFmtId="165" fontId="22" fillId="0" borderId="9" xfId="4" applyNumberFormat="1" applyFont="1" applyFill="1" applyBorder="1"/>
    <xf numFmtId="165" fontId="22" fillId="0" borderId="0" xfId="4" applyNumberFormat="1" applyFont="1" applyFill="1" applyBorder="1"/>
    <xf numFmtId="168" fontId="4" fillId="3" borderId="1" xfId="1" applyNumberFormat="1" applyFont="1" applyFill="1" applyBorder="1"/>
    <xf numFmtId="168" fontId="10" fillId="0" borderId="0" xfId="1" applyNumberFormat="1" applyFont="1"/>
    <xf numFmtId="168" fontId="22" fillId="0" borderId="0" xfId="1" applyNumberFormat="1" applyFont="1" applyFill="1" applyBorder="1"/>
    <xf numFmtId="168" fontId="22" fillId="0" borderId="0" xfId="4" applyNumberFormat="1" applyFont="1" applyFill="1" applyBorder="1"/>
    <xf numFmtId="168" fontId="19" fillId="0" borderId="10" xfId="4" applyNumberFormat="1" applyFont="1" applyFill="1" applyBorder="1"/>
    <xf numFmtId="165" fontId="12" fillId="3" borderId="12" xfId="0" applyNumberFormat="1" applyFont="1" applyFill="1" applyBorder="1" applyAlignment="1">
      <alignment horizontal="center" wrapText="1"/>
    </xf>
    <xf numFmtId="165" fontId="12" fillId="3" borderId="21" xfId="0" applyNumberFormat="1" applyFont="1" applyFill="1" applyBorder="1" applyAlignment="1">
      <alignment horizontal="center" wrapText="1"/>
    </xf>
    <xf numFmtId="165" fontId="12" fillId="3" borderId="4" xfId="0" applyNumberFormat="1" applyFont="1" applyFill="1" applyBorder="1" applyAlignment="1">
      <alignment horizontal="center" wrapText="1"/>
    </xf>
    <xf numFmtId="165" fontId="12" fillId="3" borderId="5" xfId="0" applyNumberFormat="1" applyFont="1" applyFill="1" applyBorder="1" applyAlignment="1">
      <alignment horizontal="center" wrapText="1"/>
    </xf>
    <xf numFmtId="165" fontId="10" fillId="0" borderId="4" xfId="0" applyNumberFormat="1" applyFont="1" applyBorder="1" applyAlignment="1">
      <alignment horizontal="right" wrapText="1"/>
    </xf>
    <xf numFmtId="165" fontId="18" fillId="0" borderId="1" xfId="0" applyNumberFormat="1" applyFont="1" applyBorder="1" applyAlignment="1">
      <alignment wrapText="1"/>
    </xf>
    <xf numFmtId="165" fontId="10" fillId="0" borderId="13" xfId="0" applyNumberFormat="1" applyFont="1" applyBorder="1" applyAlignment="1">
      <alignment horizontal="right" wrapText="1"/>
    </xf>
    <xf numFmtId="165" fontId="10" fillId="0" borderId="6" xfId="0" applyNumberFormat="1" applyFont="1" applyBorder="1" applyAlignment="1">
      <alignment horizontal="right" wrapText="1"/>
    </xf>
    <xf numFmtId="165" fontId="18" fillId="0" borderId="3" xfId="0" applyNumberFormat="1" applyFont="1" applyBorder="1" applyAlignment="1">
      <alignment wrapText="1"/>
    </xf>
    <xf numFmtId="165" fontId="12" fillId="3" borderId="0" xfId="0" applyNumberFormat="1" applyFont="1" applyFill="1" applyAlignment="1">
      <alignment horizontal="center"/>
    </xf>
    <xf numFmtId="41" fontId="10" fillId="0" borderId="0" xfId="1" applyFont="1"/>
    <xf numFmtId="166" fontId="21" fillId="0" borderId="0" xfId="0" applyNumberFormat="1" applyFont="1" applyAlignment="1">
      <alignment horizontal="center"/>
    </xf>
    <xf numFmtId="0" fontId="10" fillId="0" borderId="7" xfId="0" applyFont="1" applyBorder="1"/>
    <xf numFmtId="0" fontId="10" fillId="0" borderId="8" xfId="0" applyFont="1" applyBorder="1"/>
    <xf numFmtId="170" fontId="13" fillId="0" borderId="9" xfId="0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170" fontId="13" fillId="0" borderId="0" xfId="0" applyNumberFormat="1" applyFont="1" applyAlignment="1">
      <alignment horizontal="center" vertical="center"/>
    </xf>
    <xf numFmtId="166" fontId="21" fillId="0" borderId="0" xfId="0" quotePrefix="1" applyNumberFormat="1" applyFont="1" applyAlignment="1">
      <alignment horizontal="center"/>
    </xf>
    <xf numFmtId="9" fontId="10" fillId="0" borderId="0" xfId="2" applyFont="1"/>
    <xf numFmtId="175" fontId="10" fillId="0" borderId="0" xfId="2" applyNumberFormat="1" applyFont="1"/>
    <xf numFmtId="175" fontId="18" fillId="0" borderId="9" xfId="2" applyNumberFormat="1" applyFont="1" applyBorder="1"/>
    <xf numFmtId="9" fontId="3" fillId="0" borderId="5" xfId="1" applyNumberFormat="1" applyFont="1" applyBorder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165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9" fontId="25" fillId="0" borderId="0" xfId="2" applyFont="1" applyAlignment="1">
      <alignment horizontal="center"/>
    </xf>
    <xf numFmtId="10" fontId="26" fillId="0" borderId="0" xfId="0" applyNumberFormat="1" applyFont="1" applyAlignment="1">
      <alignment horizontal="center"/>
    </xf>
    <xf numFmtId="0" fontId="27" fillId="5" borderId="10" xfId="0" applyFont="1" applyFill="1" applyBorder="1" applyAlignment="1">
      <alignment horizontal="left"/>
    </xf>
    <xf numFmtId="0" fontId="27" fillId="5" borderId="10" xfId="0" applyFont="1" applyFill="1" applyBorder="1" applyAlignment="1">
      <alignment horizontal="center"/>
    </xf>
    <xf numFmtId="165" fontId="27" fillId="5" borderId="10" xfId="0" applyNumberFormat="1" applyFont="1" applyFill="1" applyBorder="1" applyAlignment="1">
      <alignment horizontal="center"/>
    </xf>
    <xf numFmtId="165" fontId="26" fillId="0" borderId="0" xfId="0" applyNumberFormat="1" applyFont="1"/>
    <xf numFmtId="0" fontId="25" fillId="0" borderId="10" xfId="0" applyFont="1" applyBorder="1" applyAlignment="1">
      <alignment horizontal="left"/>
    </xf>
    <xf numFmtId="0" fontId="25" fillId="0" borderId="10" xfId="0" applyFont="1" applyBorder="1" applyAlignment="1">
      <alignment horizontal="center"/>
    </xf>
    <xf numFmtId="165" fontId="25" fillId="0" borderId="10" xfId="0" applyNumberFormat="1" applyFont="1" applyBorder="1" applyAlignment="1">
      <alignment horizontal="center"/>
    </xf>
    <xf numFmtId="0" fontId="25" fillId="0" borderId="9" xfId="0" applyFont="1" applyBorder="1"/>
    <xf numFmtId="0" fontId="26" fillId="0" borderId="9" xfId="0" applyFont="1" applyBorder="1"/>
    <xf numFmtId="165" fontId="25" fillId="0" borderId="9" xfId="0" applyNumberFormat="1" applyFont="1" applyBorder="1"/>
    <xf numFmtId="165" fontId="25" fillId="0" borderId="0" xfId="0" applyNumberFormat="1" applyFont="1"/>
    <xf numFmtId="9" fontId="27" fillId="5" borderId="10" xfId="0" applyNumberFormat="1" applyFont="1" applyFill="1" applyBorder="1" applyAlignment="1">
      <alignment horizontal="center"/>
    </xf>
    <xf numFmtId="0" fontId="25" fillId="0" borderId="10" xfId="0" applyFont="1" applyBorder="1"/>
    <xf numFmtId="0" fontId="26" fillId="0" borderId="10" xfId="0" applyFont="1" applyBorder="1"/>
    <xf numFmtId="3" fontId="26" fillId="0" borderId="0" xfId="0" applyNumberFormat="1" applyFont="1"/>
    <xf numFmtId="167" fontId="10" fillId="0" borderId="0" xfId="1" applyNumberFormat="1" applyFont="1"/>
    <xf numFmtId="165" fontId="10" fillId="0" borderId="9" xfId="0" applyNumberFormat="1" applyFont="1" applyBorder="1"/>
    <xf numFmtId="167" fontId="10" fillId="0" borderId="0" xfId="0" applyNumberFormat="1" applyFont="1"/>
    <xf numFmtId="0" fontId="12" fillId="3" borderId="14" xfId="0" applyFont="1" applyFill="1" applyBorder="1"/>
    <xf numFmtId="165" fontId="12" fillId="3" borderId="14" xfId="0" applyNumberFormat="1" applyFont="1" applyFill="1" applyBorder="1" applyAlignment="1">
      <alignment horizontal="center" wrapText="1"/>
    </xf>
    <xf numFmtId="0" fontId="10" fillId="0" borderId="12" xfId="0" applyFont="1" applyBorder="1"/>
    <xf numFmtId="9" fontId="10" fillId="0" borderId="21" xfId="0" applyNumberFormat="1" applyFont="1" applyBorder="1"/>
    <xf numFmtId="165" fontId="10" fillId="0" borderId="5" xfId="0" applyNumberFormat="1" applyFont="1" applyBorder="1"/>
    <xf numFmtId="10" fontId="10" fillId="0" borderId="5" xfId="2" applyNumberFormat="1" applyFont="1" applyBorder="1"/>
    <xf numFmtId="8" fontId="10" fillId="0" borderId="8" xfId="0" applyNumberFormat="1" applyFont="1" applyBorder="1"/>
    <xf numFmtId="173" fontId="18" fillId="0" borderId="0" xfId="3" applyNumberFormat="1" applyFont="1" applyAlignment="1">
      <alignment horizontal="center"/>
    </xf>
    <xf numFmtId="0" fontId="12" fillId="3" borderId="23" xfId="0" applyFont="1" applyFill="1" applyBorder="1" applyAlignment="1">
      <alignment horizontal="center" wrapText="1"/>
    </xf>
    <xf numFmtId="0" fontId="12" fillId="3" borderId="24" xfId="0" applyFont="1" applyFill="1" applyBorder="1" applyAlignment="1">
      <alignment horizontal="center" wrapText="1"/>
    </xf>
    <xf numFmtId="0" fontId="12" fillId="3" borderId="25" xfId="0" applyFont="1" applyFill="1" applyBorder="1" applyAlignment="1">
      <alignment horizontal="center" wrapText="1"/>
    </xf>
    <xf numFmtId="0" fontId="12" fillId="3" borderId="26" xfId="0" applyFont="1" applyFill="1" applyBorder="1" applyAlignment="1">
      <alignment horizontal="center" wrapText="1"/>
    </xf>
    <xf numFmtId="165" fontId="12" fillId="3" borderId="26" xfId="0" applyNumberFormat="1" applyFont="1" applyFill="1" applyBorder="1" applyAlignment="1">
      <alignment horizontal="center" wrapText="1"/>
    </xf>
    <xf numFmtId="165" fontId="12" fillId="3" borderId="24" xfId="0" applyNumberFormat="1" applyFont="1" applyFill="1" applyBorder="1" applyAlignment="1">
      <alignment horizontal="center" wrapText="1"/>
    </xf>
    <xf numFmtId="165" fontId="12" fillId="3" borderId="27" xfId="0" applyNumberFormat="1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165" fontId="11" fillId="4" borderId="0" xfId="0" applyNumberFormat="1" applyFont="1" applyFill="1"/>
    <xf numFmtId="165" fontId="11" fillId="4" borderId="14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41" fontId="18" fillId="0" borderId="21" xfId="0" applyNumberFormat="1" applyFont="1" applyBorder="1"/>
    <xf numFmtId="165" fontId="12" fillId="3" borderId="0" xfId="5" applyNumberFormat="1" applyFont="1" applyFill="1" applyAlignment="1">
      <alignment horizontal="center"/>
    </xf>
    <xf numFmtId="175" fontId="25" fillId="0" borderId="0" xfId="2" applyNumberFormat="1" applyFont="1" applyAlignment="1">
      <alignment horizontal="center"/>
    </xf>
    <xf numFmtId="0" fontId="25" fillId="0" borderId="0" xfId="0" applyFont="1" applyBorder="1"/>
    <xf numFmtId="0" fontId="26" fillId="0" borderId="0" xfId="0" applyFont="1" applyBorder="1"/>
    <xf numFmtId="165" fontId="25" fillId="0" borderId="0" xfId="0" applyNumberFormat="1" applyFont="1" applyBorder="1"/>
  </cellXfs>
  <cellStyles count="6">
    <cellStyle name="Millares" xfId="3" builtinId="3"/>
    <cellStyle name="Millares [0]" xfId="1" builtinId="6"/>
    <cellStyle name="Moneda" xfId="4" builtinId="4"/>
    <cellStyle name="Normal" xfId="0" builtinId="0"/>
    <cellStyle name="Normal 2" xfId="5" xr:uid="{F41C75BD-0C14-47A4-806B-AB5BA13D98B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196056</xdr:colOff>
      <xdr:row>4</xdr:row>
      <xdr:rowOff>109467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C7F831-EE01-465E-ACFC-B6BCC17AF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7400" cy="8714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3327400</xdr:colOff>
      <xdr:row>4</xdr:row>
      <xdr:rowOff>71367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E9D4DF-1580-4CBE-BF3E-428382D0F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7400" cy="8714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321470</xdr:colOff>
      <xdr:row>66</xdr:row>
      <xdr:rowOff>71436</xdr:rowOff>
    </xdr:from>
    <xdr:to>
      <xdr:col>10</xdr:col>
      <xdr:colOff>598330</xdr:colOff>
      <xdr:row>69</xdr:row>
      <xdr:rowOff>147636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21D7C70-9B71-40D1-AF67-3BF0EAF1808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6314" y="15263811"/>
          <a:ext cx="484886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547689</xdr:colOff>
      <xdr:row>71</xdr:row>
      <xdr:rowOff>1</xdr:rowOff>
    </xdr:from>
    <xdr:to>
      <xdr:col>10</xdr:col>
      <xdr:colOff>557849</xdr:colOff>
      <xdr:row>74</xdr:row>
      <xdr:rowOff>66676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0A4B65-792C-4211-9341-DC4BBB128B2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2533" y="16144876"/>
          <a:ext cx="4582160" cy="638175"/>
        </a:xfrm>
        <a:prstGeom prst="rect">
          <a:avLst/>
        </a:prstGeom>
      </xdr:spPr>
    </xdr:pic>
    <xdr:clientData/>
  </xdr:twoCellAnchor>
  <xdr:twoCellAnchor editAs="oneCell">
    <xdr:from>
      <xdr:col>5</xdr:col>
      <xdr:colOff>166688</xdr:colOff>
      <xdr:row>75</xdr:row>
      <xdr:rowOff>35719</xdr:rowOff>
    </xdr:from>
    <xdr:to>
      <xdr:col>10</xdr:col>
      <xdr:colOff>280988</xdr:colOff>
      <xdr:row>78</xdr:row>
      <xdr:rowOff>26194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075D46A-06D5-4E14-A003-0380C1CB8658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3532" y="16942594"/>
          <a:ext cx="3924300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83345</xdr:colOff>
      <xdr:row>0</xdr:row>
      <xdr:rowOff>0</xdr:rowOff>
    </xdr:from>
    <xdr:to>
      <xdr:col>3</xdr:col>
      <xdr:colOff>612776</xdr:colOff>
      <xdr:row>4</xdr:row>
      <xdr:rowOff>109467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8BCC63-8A6C-4C61-8AF6-A3BEC357A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5345" y="0"/>
          <a:ext cx="3327400" cy="8714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321470</xdr:colOff>
      <xdr:row>68</xdr:row>
      <xdr:rowOff>71436</xdr:rowOff>
    </xdr:from>
    <xdr:to>
      <xdr:col>10</xdr:col>
      <xdr:colOff>598330</xdr:colOff>
      <xdr:row>71</xdr:row>
      <xdr:rowOff>147636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128978-D8DD-43E9-9597-D3DB2496F85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8695" y="12777786"/>
          <a:ext cx="484886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547689</xdr:colOff>
      <xdr:row>73</xdr:row>
      <xdr:rowOff>1</xdr:rowOff>
    </xdr:from>
    <xdr:to>
      <xdr:col>10</xdr:col>
      <xdr:colOff>557849</xdr:colOff>
      <xdr:row>76</xdr:row>
      <xdr:rowOff>66676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086677-2E28-4FDB-9AD1-9ABC8311E95B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4914" y="13658851"/>
          <a:ext cx="4582160" cy="638175"/>
        </a:xfrm>
        <a:prstGeom prst="rect">
          <a:avLst/>
        </a:prstGeom>
      </xdr:spPr>
    </xdr:pic>
    <xdr:clientData/>
  </xdr:twoCellAnchor>
  <xdr:twoCellAnchor editAs="oneCell">
    <xdr:from>
      <xdr:col>5</xdr:col>
      <xdr:colOff>166688</xdr:colOff>
      <xdr:row>77</xdr:row>
      <xdr:rowOff>35719</xdr:rowOff>
    </xdr:from>
    <xdr:to>
      <xdr:col>10</xdr:col>
      <xdr:colOff>280988</xdr:colOff>
      <xdr:row>80</xdr:row>
      <xdr:rowOff>26194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6FC6B2-F527-4592-9AF5-D3DD14163089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5913" y="14456569"/>
          <a:ext cx="3924300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83345</xdr:colOff>
      <xdr:row>0</xdr:row>
      <xdr:rowOff>0</xdr:rowOff>
    </xdr:from>
    <xdr:to>
      <xdr:col>3</xdr:col>
      <xdr:colOff>612776</xdr:colOff>
      <xdr:row>4</xdr:row>
      <xdr:rowOff>109467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0FE706-08D8-40C7-864A-EDAF0689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5345" y="0"/>
          <a:ext cx="3329781" cy="871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112712</xdr:colOff>
      <xdr:row>4</xdr:row>
      <xdr:rowOff>109467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1CDDA3-923D-4F86-9934-B23B9F2FB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7400" cy="8714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910431</xdr:colOff>
      <xdr:row>4</xdr:row>
      <xdr:rowOff>109467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0F58F6-3A12-4996-935E-F2E58F617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7400" cy="8714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362744</xdr:colOff>
      <xdr:row>4</xdr:row>
      <xdr:rowOff>109467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F4F356-D8FE-4531-9229-68CF40CEC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7400" cy="8714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541337</xdr:colOff>
      <xdr:row>4</xdr:row>
      <xdr:rowOff>109467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6734DD-544A-4CC4-9B23-ED7986DD7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7400" cy="8714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469900</xdr:colOff>
      <xdr:row>4</xdr:row>
      <xdr:rowOff>109467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50AE82-0314-455A-AE51-E209329DC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7400" cy="8714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0</xdr:rowOff>
    </xdr:from>
    <xdr:to>
      <xdr:col>2</xdr:col>
      <xdr:colOff>124619</xdr:colOff>
      <xdr:row>4</xdr:row>
      <xdr:rowOff>109467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F9DB0B-D7F0-4D79-A83D-48D6E188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032" y="0"/>
          <a:ext cx="3327400" cy="8714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76993</xdr:colOff>
      <xdr:row>4</xdr:row>
      <xdr:rowOff>109467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7C71BB-2312-4052-9FAE-C63909698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0"/>
          <a:ext cx="3327400" cy="8714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505619</xdr:colOff>
      <xdr:row>4</xdr:row>
      <xdr:rowOff>109467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411F30-10BC-48D2-BCF5-BBDD18818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0"/>
          <a:ext cx="3327400" cy="8714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y%20Documents\Tax\Declaciones%20de%20Renta\Formulario%2022%20AT%202007\Cintra\Aeropuerto%20Cerro%20Moreno%20Sociedad%20Concesionaria%20S.A\09-06%20ANALISIS%20%20AC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y%20Documents\Tax\Declaciones%20de%20Renta\Formulario%2022%20AT%202007\Cintra\Cintra%20CLIENTE\CERRO%20MORENO\12-06%20ANALISIS%20%20ACM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CONTABILIDAD\1ESTADOS%20FINANCIEROS\2006\09%20SEPTIEMBRE-2006\INDICADORES%20SEPTIEMBRE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CONTABILIDAD\1ESTADOS%20FINANCIEROS\2001\AGOSTO-2001\1%20%20CINTRA\08-01-ANALISIS%20B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y%20Documents\Tax\Declaciones%20de%20Renta\Formulario%2022%20AT%202007\Cintra\Aeropuerto%20Cerro%20Moreno%20Sociedad%20Concesionaria%20S.A\02%20EEFF%20AER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CONTABILIDAD\1ESTADOS%20FINANCIEROS\2002\JUNIO-2002\1%20%20RUTA5\06-02%20ANALISIS%20MODELO%20TAL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t seg"/>
      <sheetName val="INDICE"/>
      <sheetName val="11010-1"/>
      <sheetName val="11010-2"/>
      <sheetName val="11030-1"/>
      <sheetName val="11050-1"/>
      <sheetName val="11060-1"/>
      <sheetName val="11060-2"/>
      <sheetName val="11060-3"/>
      <sheetName val="11060-4"/>
      <sheetName val="11060-5"/>
      <sheetName val="11060-6 "/>
      <sheetName val="11070-1"/>
      <sheetName val="11060-7 "/>
      <sheetName val="11080-1"/>
      <sheetName val="11060-7  (2)"/>
      <sheetName val="11100-1 "/>
      <sheetName val="11100-2"/>
      <sheetName val="11100-3"/>
      <sheetName val="11100-4"/>
      <sheetName val="12050-1"/>
      <sheetName val="12050-2"/>
      <sheetName val="12050-3"/>
      <sheetName val="12050-4"/>
      <sheetName val="13010-1 "/>
      <sheetName val="13010-2"/>
      <sheetName val="21015-1"/>
      <sheetName val="21050-1"/>
      <sheetName val="21050-2"/>
      <sheetName val="21060-1 "/>
      <sheetName val="21075-1"/>
      <sheetName val="21070-1"/>
      <sheetName val="21075-2"/>
      <sheetName val="21080-1"/>
      <sheetName val="21110-1"/>
      <sheetName val="22010-1"/>
      <sheetName val="22020-1 "/>
      <sheetName val="23000-1"/>
      <sheetName val="56000-1"/>
      <sheetName val="57000-1"/>
      <sheetName val="57000-2"/>
      <sheetName val="57000-3"/>
      <sheetName val="IMG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t seg"/>
      <sheetName val="INDICE"/>
      <sheetName val="11010-1"/>
      <sheetName val="11010-2"/>
      <sheetName val="11030-1"/>
      <sheetName val="11050-1"/>
      <sheetName val="11060-1"/>
      <sheetName val="11060-2"/>
      <sheetName val="11060-3"/>
      <sheetName val="11060-4"/>
      <sheetName val="11060-5"/>
      <sheetName val="11060-6 "/>
      <sheetName val="11070-1"/>
      <sheetName val="11060-7 "/>
      <sheetName val="11080-1"/>
      <sheetName val="11060-7  (2)"/>
      <sheetName val="11100-1 "/>
      <sheetName val="11100-2"/>
      <sheetName val="11100-3"/>
      <sheetName val="11100-4"/>
      <sheetName val="12050-1"/>
      <sheetName val="12050-2"/>
      <sheetName val="12050-3"/>
      <sheetName val="12050-4"/>
      <sheetName val="13010-1 "/>
      <sheetName val="13010-2"/>
      <sheetName val="21015-1"/>
      <sheetName val="21050-1"/>
      <sheetName val="21050-2"/>
      <sheetName val="21060-1 "/>
      <sheetName val="21075-1"/>
      <sheetName val="21070-1"/>
      <sheetName val="21075-2"/>
      <sheetName val="21080-1"/>
      <sheetName val="21110-1"/>
      <sheetName val="22010-1"/>
      <sheetName val="22020-1 "/>
      <sheetName val="23000-1"/>
      <sheetName val="56000-1"/>
      <sheetName val="57000-1"/>
      <sheetName val="57000-2"/>
      <sheetName val="57000-3"/>
      <sheetName val="IMG 2004"/>
    </sheetNames>
    <sheetDataSet>
      <sheetData sheetId="0"/>
      <sheetData sheetId="1">
        <row r="2">
          <cell r="C2" t="str">
            <v>AEROPUERTO CERRO MORENO SOC. CONCESIONARIA. S.A.</v>
          </cell>
        </row>
        <row r="3">
          <cell r="C3" t="str">
            <v>al 31 de Diciembre 2006</v>
          </cell>
        </row>
        <row r="77">
          <cell r="C77" t="str">
            <v>IMPUESTO RENTA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  <sheetName val="INDICADORES SEPTIEMBRE-06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"/>
      <sheetName val="CITI-1"/>
      <sheetName val="CITI-2"/>
      <sheetName val="Santander"/>
      <sheetName val="Santiago"/>
      <sheetName val="Security"/>
      <sheetName val="INVERS TEM"/>
      <sheetName val="RESUMEN "/>
      <sheetName val="Ch. Cart."/>
      <sheetName val="Cta. Cte. Pers."/>
      <sheetName val="Ant.Prov"/>
      <sheetName val="Fdo.Rend."/>
      <sheetName val="CxC Aerop"/>
      <sheetName val="CxC Stgo."/>
      <sheetName val="CxC Talca"/>
      <sheetName val="CxC Cote"/>
      <sheetName val="CxC TRB"/>
      <sheetName val="CxC Cintra Esp"/>
      <sheetName val="Gtos.antic"/>
      <sheetName val="Gtos.x Fact."/>
      <sheetName val="ACT.FIJO"/>
      <sheetName val="VPP"/>
      <sheetName val="SIN VPP"/>
      <sheetName val="INTANGIBLE"/>
      <sheetName val="MAYOR VALOR"/>
      <sheetName val="MENOR VALOR"/>
      <sheetName val="Proveed."/>
      <sheetName val="Hon.x Pag"/>
      <sheetName val="Acreed."/>
      <sheetName val="CxP Cintra"/>
      <sheetName val="CxP Ferrov"/>
      <sheetName val="IMPTO. RENTA LIQ "/>
      <sheetName val="IMPTO"/>
      <sheetName val="CORR.MONT."/>
      <sheetName val="CORR.MONT. SIN VPP"/>
      <sheetName val="hoja Trab"/>
      <sheetName val="RENTA LIQ"/>
      <sheetName val="IMPTO.DIF "/>
    </sheetNames>
    <sheetDataSet>
      <sheetData sheetId="0" refreshError="1">
        <row r="57">
          <cell r="C57" t="str">
            <v xml:space="preserve">CORRECCION MONETARIA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Indice"/>
      <sheetName val="Indicadores"/>
      <sheetName val="ACT-PAS"/>
      <sheetName val="EERR"/>
      <sheetName val="EERR (E)"/>
      <sheetName val="DET_ACT-PAS"/>
      <sheetName val="A-EERR(E)"/>
      <sheetName val="ACT-PAS (D)"/>
      <sheetName val="DET_ACT-PAS (D)"/>
      <sheetName val="BCE-ESP "/>
      <sheetName val="Activo-local"/>
      <sheetName val="Pasivo-local"/>
      <sheetName val="PyG-local"/>
      <sheetName val="PLAN"/>
      <sheetName val="Membr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010-1"/>
      <sheetName val="11010-2"/>
      <sheetName val="11010-3"/>
      <sheetName val="11010-4"/>
      <sheetName val="11010-5"/>
      <sheetName val="11010-6"/>
      <sheetName val="11010-7"/>
      <sheetName val="11010-8"/>
      <sheetName val="11010-9"/>
      <sheetName val="11010-10"/>
      <sheetName val="11010-11"/>
      <sheetName val="11030-1"/>
      <sheetName val="11060-1"/>
      <sheetName val="11060-2"/>
      <sheetName val="11060-3"/>
      <sheetName val="11060-4"/>
      <sheetName val="11080-1"/>
      <sheetName val="11100-1 "/>
      <sheetName val="11100-2"/>
      <sheetName val="11100-3"/>
      <sheetName val="11110-1"/>
      <sheetName val="11110-2"/>
      <sheetName val="11110-3"/>
      <sheetName val="12050-1"/>
      <sheetName val="12050-2"/>
      <sheetName val="12050-3"/>
      <sheetName val="12050-4"/>
      <sheetName val="13010-1 "/>
      <sheetName val="13010-2"/>
      <sheetName val="13080-1"/>
      <sheetName val="13080-2"/>
      <sheetName val="13080-3"/>
      <sheetName val="21025-1"/>
      <sheetName val="21050-1"/>
      <sheetName val="21050-2"/>
      <sheetName val="21060-1 "/>
      <sheetName val="21070-1 "/>
      <sheetName val="21075-1"/>
      <sheetName val="21075-2"/>
      <sheetName val="21075-3"/>
      <sheetName val="21080-1"/>
      <sheetName val="21100-1"/>
      <sheetName val="21110-1"/>
      <sheetName val="21110-2"/>
      <sheetName val="21110-3"/>
      <sheetName val="21110-4"/>
      <sheetName val="22020-1"/>
      <sheetName val="22070-1"/>
      <sheetName val="22070-2"/>
      <sheetName val="22070-3"/>
      <sheetName val="23000-1"/>
      <sheetName val="56000-1"/>
      <sheetName val="57000-1"/>
      <sheetName val="57000-2"/>
      <sheetName val="57000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A1310-F51E-4638-89FF-3091A8391248}">
  <dimension ref="A7:F62"/>
  <sheetViews>
    <sheetView showGridLines="0" zoomScale="80" zoomScaleNormal="80" workbookViewId="0">
      <pane ySplit="9" topLeftCell="A32" activePane="bottomLeft" state="frozen"/>
      <selection pane="bottomLeft" activeCell="F62" sqref="F62"/>
    </sheetView>
  </sheetViews>
  <sheetFormatPr baseColWidth="10" defaultRowHeight="15" x14ac:dyDescent="0.25"/>
  <cols>
    <col min="1" max="1" width="35.140625" style="104" bestFit="1" customWidth="1"/>
    <col min="2" max="2" width="11.85546875" style="154" bestFit="1" customWidth="1"/>
    <col min="3" max="4" width="11.42578125" style="104"/>
    <col min="5" max="5" width="63.85546875" style="104" customWidth="1"/>
    <col min="6" max="6" width="12.140625" style="104" bestFit="1" customWidth="1"/>
    <col min="7" max="16384" width="11.42578125" style="104"/>
  </cols>
  <sheetData>
    <row r="7" spans="1:6" ht="15.75" x14ac:dyDescent="0.25">
      <c r="A7" s="136" t="s">
        <v>124</v>
      </c>
      <c r="B7" s="151"/>
      <c r="E7" s="1"/>
    </row>
    <row r="8" spans="1:6" x14ac:dyDescent="0.25">
      <c r="A8" s="134"/>
      <c r="B8" s="151"/>
    </row>
    <row r="9" spans="1:6" ht="15.75" x14ac:dyDescent="0.25">
      <c r="A9" s="53" t="s">
        <v>125</v>
      </c>
      <c r="B9" s="96" t="s">
        <v>83</v>
      </c>
      <c r="E9" s="53" t="s">
        <v>0</v>
      </c>
      <c r="F9" s="56"/>
    </row>
    <row r="10" spans="1:6" ht="15.75" x14ac:dyDescent="0.25">
      <c r="A10" s="134"/>
      <c r="B10" s="152"/>
      <c r="E10" s="21"/>
      <c r="F10" s="97"/>
    </row>
    <row r="11" spans="1:6" ht="15.75" x14ac:dyDescent="0.25">
      <c r="A11" s="134" t="s">
        <v>165</v>
      </c>
      <c r="B11" s="152">
        <v>3000000</v>
      </c>
      <c r="E11" s="60" t="s">
        <v>3</v>
      </c>
      <c r="F11" s="57"/>
    </row>
    <row r="12" spans="1:6" ht="15.75" x14ac:dyDescent="0.25">
      <c r="A12" s="134"/>
      <c r="B12" s="151"/>
      <c r="E12" s="10"/>
      <c r="F12" s="57"/>
    </row>
    <row r="13" spans="1:6" ht="15.75" x14ac:dyDescent="0.25">
      <c r="A13" s="140" t="s">
        <v>11</v>
      </c>
      <c r="B13" s="153">
        <f>SUM(B10:B12)</f>
        <v>3000000</v>
      </c>
      <c r="E13" s="10" t="s">
        <v>290</v>
      </c>
      <c r="F13" s="58">
        <v>1000</v>
      </c>
    </row>
    <row r="14" spans="1:6" ht="15.75" x14ac:dyDescent="0.25">
      <c r="A14" s="134"/>
      <c r="B14" s="152"/>
      <c r="E14" s="10" t="s">
        <v>288</v>
      </c>
      <c r="F14" s="58">
        <v>1000</v>
      </c>
    </row>
    <row r="15" spans="1:6" x14ac:dyDescent="0.25">
      <c r="A15" s="134"/>
      <c r="B15" s="152"/>
      <c r="E15" s="127" t="s">
        <v>289</v>
      </c>
      <c r="F15" s="128"/>
    </row>
    <row r="16" spans="1:6" ht="15.75" x14ac:dyDescent="0.25">
      <c r="A16" s="53" t="s">
        <v>126</v>
      </c>
      <c r="B16" s="96" t="s">
        <v>83</v>
      </c>
      <c r="E16" s="246"/>
      <c r="F16" s="247"/>
    </row>
    <row r="17" spans="1:6" ht="15.75" x14ac:dyDescent="0.25">
      <c r="A17" s="134" t="s">
        <v>137</v>
      </c>
      <c r="B17" s="152">
        <f>+Activos!H7</f>
        <v>98979.1</v>
      </c>
      <c r="E17" s="53" t="s">
        <v>17</v>
      </c>
      <c r="F17" s="56"/>
    </row>
    <row r="18" spans="1:6" ht="15.75" x14ac:dyDescent="0.25">
      <c r="A18" s="134" t="s">
        <v>138</v>
      </c>
      <c r="B18" s="152">
        <f>+Activos!H8</f>
        <v>450000</v>
      </c>
      <c r="E18" s="10"/>
      <c r="F18" s="57"/>
    </row>
    <row r="19" spans="1:6" ht="15.75" x14ac:dyDescent="0.25">
      <c r="A19" s="134" t="s">
        <v>139</v>
      </c>
      <c r="B19" s="152">
        <f>+Activos!H9</f>
        <v>80000</v>
      </c>
      <c r="E19" s="10" t="s">
        <v>18</v>
      </c>
      <c r="F19" s="57"/>
    </row>
    <row r="20" spans="1:6" ht="15.75" x14ac:dyDescent="0.25">
      <c r="A20" s="134" t="s">
        <v>295</v>
      </c>
      <c r="B20" s="152">
        <f>+Activos!H10</f>
        <v>388678.5</v>
      </c>
      <c r="E20" s="10"/>
      <c r="F20" s="57"/>
    </row>
    <row r="21" spans="1:6" ht="15.75" x14ac:dyDescent="0.25">
      <c r="A21" s="134" t="s">
        <v>135</v>
      </c>
      <c r="B21" s="152">
        <f>+Activos!H11</f>
        <v>180000</v>
      </c>
      <c r="E21" s="53" t="s">
        <v>19</v>
      </c>
      <c r="F21" s="56"/>
    </row>
    <row r="22" spans="1:6" ht="15.75" x14ac:dyDescent="0.25">
      <c r="A22" s="140" t="s">
        <v>127</v>
      </c>
      <c r="B22" s="153">
        <f>SUM(B17:B21)</f>
        <v>1197657.6000000001</v>
      </c>
      <c r="E22" s="10"/>
      <c r="F22" s="57"/>
    </row>
    <row r="23" spans="1:6" ht="15.75" x14ac:dyDescent="0.25">
      <c r="A23" s="134"/>
      <c r="B23" s="152"/>
      <c r="E23" s="10" t="s">
        <v>20</v>
      </c>
      <c r="F23" s="57">
        <f>-'Costos Consolidado'!H29</f>
        <v>893188</v>
      </c>
    </row>
    <row r="24" spans="1:6" ht="15.75" x14ac:dyDescent="0.25">
      <c r="A24" s="53" t="s">
        <v>128</v>
      </c>
      <c r="B24" s="96" t="s">
        <v>83</v>
      </c>
      <c r="E24" s="10" t="s">
        <v>22</v>
      </c>
      <c r="F24" s="57">
        <f>-'Costos Consolidado'!H10</f>
        <v>893.18799999999999</v>
      </c>
    </row>
    <row r="25" spans="1:6" ht="15.75" x14ac:dyDescent="0.25">
      <c r="A25" s="104" t="s">
        <v>129</v>
      </c>
      <c r="B25" s="152">
        <f>+Mercaderia!F15+Mercaderia!F24+Mercaderia!F34</f>
        <v>850000</v>
      </c>
      <c r="E25" s="13"/>
      <c r="F25" s="59"/>
    </row>
    <row r="26" spans="1:6" x14ac:dyDescent="0.25">
      <c r="A26" s="104" t="s">
        <v>274</v>
      </c>
      <c r="B26" s="152">
        <f>+Remus!M36</f>
        <v>655126</v>
      </c>
    </row>
    <row r="27" spans="1:6" x14ac:dyDescent="0.25">
      <c r="A27" s="104" t="s">
        <v>342</v>
      </c>
      <c r="B27" s="154">
        <f>+Remus!P36</f>
        <v>655126</v>
      </c>
    </row>
    <row r="28" spans="1:6" ht="15.75" x14ac:dyDescent="0.25">
      <c r="A28" s="104" t="s">
        <v>215</v>
      </c>
      <c r="B28" s="152">
        <f>+Honorarios!O41</f>
        <v>360000</v>
      </c>
      <c r="E28" s="53" t="s">
        <v>24</v>
      </c>
      <c r="F28" s="56"/>
    </row>
    <row r="29" spans="1:6" ht="15.75" x14ac:dyDescent="0.25">
      <c r="A29" s="104" t="s">
        <v>272</v>
      </c>
      <c r="B29" s="152">
        <f>+'Gastos Fijos'!B30</f>
        <v>1425126</v>
      </c>
      <c r="E29" s="10"/>
      <c r="F29" s="57"/>
    </row>
    <row r="30" spans="1:6" ht="15.75" x14ac:dyDescent="0.25">
      <c r="A30" s="134"/>
      <c r="B30" s="152"/>
      <c r="E30" s="60" t="s">
        <v>3</v>
      </c>
      <c r="F30" s="57"/>
    </row>
    <row r="31" spans="1:6" ht="15.75" x14ac:dyDescent="0.25">
      <c r="A31" s="140" t="s">
        <v>130</v>
      </c>
      <c r="B31" s="153">
        <f>SUM(B25:B30)</f>
        <v>3945378</v>
      </c>
      <c r="E31" s="10"/>
      <c r="F31" s="57"/>
    </row>
    <row r="32" spans="1:6" ht="15.75" x14ac:dyDescent="0.25">
      <c r="A32" s="134"/>
      <c r="B32" s="152"/>
      <c r="E32" s="10" t="s">
        <v>302</v>
      </c>
      <c r="F32" s="58">
        <v>2500</v>
      </c>
    </row>
    <row r="33" spans="1:6" ht="15.75" x14ac:dyDescent="0.25">
      <c r="A33" s="134"/>
      <c r="B33" s="152"/>
      <c r="E33" s="10" t="s">
        <v>302</v>
      </c>
      <c r="F33" s="58">
        <v>3000</v>
      </c>
    </row>
    <row r="34" spans="1:6" ht="15.75" x14ac:dyDescent="0.25">
      <c r="A34" s="53" t="s">
        <v>132</v>
      </c>
      <c r="B34" s="96" t="s">
        <v>83</v>
      </c>
      <c r="E34" s="10"/>
      <c r="F34" s="57"/>
    </row>
    <row r="35" spans="1:6" ht="15.75" x14ac:dyDescent="0.25">
      <c r="A35" s="134" t="s">
        <v>299</v>
      </c>
      <c r="B35" s="152">
        <v>60000</v>
      </c>
      <c r="E35" s="10"/>
      <c r="F35" s="57"/>
    </row>
    <row r="36" spans="1:6" ht="15.75" x14ac:dyDescent="0.25">
      <c r="A36" s="134" t="s">
        <v>136</v>
      </c>
      <c r="B36" s="152">
        <v>15000</v>
      </c>
      <c r="E36" s="49"/>
      <c r="F36" s="99"/>
    </row>
    <row r="37" spans="1:6" ht="15.75" x14ac:dyDescent="0.25">
      <c r="A37" s="134" t="s">
        <v>273</v>
      </c>
      <c r="B37" s="152">
        <v>65000</v>
      </c>
      <c r="E37" s="53" t="s">
        <v>17</v>
      </c>
      <c r="F37" s="56"/>
    </row>
    <row r="38" spans="1:6" ht="15.75" x14ac:dyDescent="0.25">
      <c r="A38" s="134" t="s">
        <v>298</v>
      </c>
      <c r="B38" s="152">
        <v>65000</v>
      </c>
      <c r="E38" s="10"/>
      <c r="F38" s="57"/>
    </row>
    <row r="39" spans="1:6" ht="15.75" x14ac:dyDescent="0.25">
      <c r="A39" s="134"/>
      <c r="B39" s="152"/>
      <c r="E39" s="10" t="s">
        <v>40</v>
      </c>
      <c r="F39" s="57"/>
    </row>
    <row r="40" spans="1:6" ht="15.75" x14ac:dyDescent="0.25">
      <c r="E40" s="10" t="s">
        <v>41</v>
      </c>
      <c r="F40" s="57"/>
    </row>
    <row r="41" spans="1:6" ht="15.75" x14ac:dyDescent="0.25">
      <c r="A41" s="140" t="s">
        <v>133</v>
      </c>
      <c r="B41" s="153">
        <f>SUM(B35:B39)</f>
        <v>205000</v>
      </c>
      <c r="E41" s="10"/>
      <c r="F41" s="57"/>
    </row>
    <row r="42" spans="1:6" ht="15.75" x14ac:dyDescent="0.25">
      <c r="A42" s="134"/>
      <c r="B42" s="151"/>
      <c r="E42" s="53" t="s">
        <v>19</v>
      </c>
      <c r="F42" s="56"/>
    </row>
    <row r="43" spans="1:6" ht="15.75" x14ac:dyDescent="0.25">
      <c r="A43" s="140" t="s">
        <v>134</v>
      </c>
      <c r="B43" s="153">
        <f>+B22+B31+B41</f>
        <v>5348035.5999999996</v>
      </c>
      <c r="E43" s="10"/>
      <c r="F43" s="57"/>
    </row>
    <row r="44" spans="1:6" ht="15.75" x14ac:dyDescent="0.25">
      <c r="B44" s="154">
        <f>+B43-B13</f>
        <v>2348035.5999999996</v>
      </c>
      <c r="E44" s="10" t="s">
        <v>44</v>
      </c>
      <c r="F44" s="11">
        <f>+'Costos Consolidado'!H33</f>
        <v>1856.8119999999999</v>
      </c>
    </row>
    <row r="45" spans="1:6" ht="15.75" x14ac:dyDescent="0.25">
      <c r="E45" s="10" t="s">
        <v>45</v>
      </c>
      <c r="F45" s="11">
        <f>+'Costos Consolidado'!H32</f>
        <v>1856812</v>
      </c>
    </row>
    <row r="46" spans="1:6" ht="15.75" x14ac:dyDescent="0.25">
      <c r="E46" s="13"/>
      <c r="F46" s="51"/>
    </row>
    <row r="49" spans="5:6" ht="15.75" x14ac:dyDescent="0.25">
      <c r="E49" s="53" t="s">
        <v>27</v>
      </c>
      <c r="F49" s="56"/>
    </row>
    <row r="50" spans="5:6" ht="15.75" x14ac:dyDescent="0.25">
      <c r="E50" s="10"/>
      <c r="F50" s="57"/>
    </row>
    <row r="51" spans="5:6" ht="15.75" x14ac:dyDescent="0.25">
      <c r="E51" s="60" t="s">
        <v>3</v>
      </c>
      <c r="F51" s="57"/>
    </row>
    <row r="52" spans="5:6" ht="15.75" x14ac:dyDescent="0.25">
      <c r="E52" s="10"/>
      <c r="F52" s="57"/>
    </row>
    <row r="53" spans="5:6" ht="15.75" x14ac:dyDescent="0.25">
      <c r="E53" s="10" t="s">
        <v>302</v>
      </c>
      <c r="F53" s="58">
        <v>2500</v>
      </c>
    </row>
    <row r="54" spans="5:6" ht="15.75" x14ac:dyDescent="0.25">
      <c r="E54" s="10" t="s">
        <v>302</v>
      </c>
      <c r="F54" s="58">
        <v>3000</v>
      </c>
    </row>
    <row r="55" spans="5:6" ht="15.75" x14ac:dyDescent="0.25">
      <c r="E55" s="10"/>
      <c r="F55" s="57"/>
    </row>
    <row r="56" spans="5:6" ht="15.75" x14ac:dyDescent="0.25">
      <c r="E56" s="10" t="s">
        <v>304</v>
      </c>
      <c r="F56" s="255">
        <v>0.19</v>
      </c>
    </row>
    <row r="57" spans="5:6" x14ac:dyDescent="0.25">
      <c r="E57" s="127" t="s">
        <v>303</v>
      </c>
      <c r="F57" s="128">
        <f>+F53*$F$56</f>
        <v>475</v>
      </c>
    </row>
    <row r="58" spans="5:6" x14ac:dyDescent="0.25">
      <c r="E58" s="127" t="s">
        <v>303</v>
      </c>
      <c r="F58" s="128">
        <f>+F54*$F$56</f>
        <v>570</v>
      </c>
    </row>
    <row r="59" spans="5:6" x14ac:dyDescent="0.25">
      <c r="E59" s="127"/>
      <c r="F59" s="128"/>
    </row>
    <row r="60" spans="5:6" x14ac:dyDescent="0.25">
      <c r="E60" s="127" t="s">
        <v>27</v>
      </c>
      <c r="F60" s="219">
        <f>+F53+F57</f>
        <v>2975</v>
      </c>
    </row>
    <row r="61" spans="5:6" x14ac:dyDescent="0.25">
      <c r="E61" s="127" t="s">
        <v>27</v>
      </c>
      <c r="F61" s="219">
        <f>+F54+F58</f>
        <v>3570</v>
      </c>
    </row>
    <row r="62" spans="5:6" x14ac:dyDescent="0.25">
      <c r="E62" s="246"/>
      <c r="F62" s="247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ECC55-0E7E-473A-A06C-C1822C4BB2BA}">
  <dimension ref="A6:Q67"/>
  <sheetViews>
    <sheetView showGridLines="0" zoomScale="80" zoomScaleNormal="80" workbookViewId="0">
      <pane ySplit="8" topLeftCell="A9" activePane="bottomLeft" state="frozen"/>
      <selection pane="bottomLeft" activeCell="F26" sqref="F26"/>
    </sheetView>
  </sheetViews>
  <sheetFormatPr baseColWidth="10" defaultRowHeight="15.75" x14ac:dyDescent="0.25"/>
  <cols>
    <col min="1" max="1" width="51.5703125" style="3" customWidth="1"/>
    <col min="2" max="2" width="12.28515625" style="2" bestFit="1" customWidth="1"/>
    <col min="3" max="3" width="15.42578125" style="3" bestFit="1" customWidth="1"/>
    <col min="4" max="4" width="9.85546875" style="4" bestFit="1" customWidth="1"/>
    <col min="5" max="5" width="46.28515625" style="3" customWidth="1"/>
    <col min="6" max="6" width="12.7109375" style="3" bestFit="1" customWidth="1"/>
    <col min="7" max="7" width="13.5703125" style="3" bestFit="1" customWidth="1"/>
    <col min="8" max="8" width="13.42578125" style="3" bestFit="1" customWidth="1"/>
    <col min="9" max="9" width="5.5703125" style="7" bestFit="1" customWidth="1"/>
    <col min="10" max="10" width="52.140625" style="3" bestFit="1" customWidth="1"/>
    <col min="11" max="11" width="9.5703125" style="3" bestFit="1" customWidth="1"/>
    <col min="12" max="12" width="14.85546875" style="3" bestFit="1" customWidth="1"/>
    <col min="13" max="13" width="36.42578125" style="3" bestFit="1" customWidth="1"/>
    <col min="14" max="14" width="11.42578125" style="3"/>
    <col min="15" max="15" width="9.28515625" style="3" bestFit="1" customWidth="1"/>
    <col min="16" max="16" width="11.42578125" style="3"/>
    <col min="17" max="17" width="6.7109375" style="3" bestFit="1" customWidth="1"/>
    <col min="18" max="16384" width="11.42578125" style="3"/>
  </cols>
  <sheetData>
    <row r="6" spans="1:17" x14ac:dyDescent="0.25">
      <c r="Q6" s="7"/>
    </row>
    <row r="8" spans="1:17" x14ac:dyDescent="0.25">
      <c r="A8" s="297" t="s">
        <v>61</v>
      </c>
      <c r="B8" s="298"/>
      <c r="C8" s="299"/>
      <c r="E8" s="303" t="s">
        <v>98</v>
      </c>
      <c r="F8" s="304"/>
      <c r="G8" s="304"/>
      <c r="H8" s="304"/>
      <c r="I8" s="305"/>
    </row>
    <row r="9" spans="1:17" x14ac:dyDescent="0.25">
      <c r="A9" s="47"/>
      <c r="B9" s="36"/>
      <c r="C9" s="48"/>
      <c r="E9" s="47"/>
      <c r="I9" s="11"/>
    </row>
    <row r="10" spans="1:17" x14ac:dyDescent="0.25">
      <c r="A10" s="60" t="s">
        <v>3</v>
      </c>
      <c r="B10" s="36"/>
      <c r="C10" s="48"/>
      <c r="E10" s="10" t="s">
        <v>50</v>
      </c>
      <c r="I10" s="57" t="s">
        <v>120</v>
      </c>
    </row>
    <row r="11" spans="1:17" x14ac:dyDescent="0.25">
      <c r="A11" s="10"/>
      <c r="B11" s="36"/>
      <c r="C11" s="48"/>
      <c r="E11" s="10" t="s">
        <v>51</v>
      </c>
      <c r="I11" s="11"/>
    </row>
    <row r="12" spans="1:17" x14ac:dyDescent="0.25">
      <c r="A12" s="10" t="s">
        <v>52</v>
      </c>
      <c r="B12" s="76">
        <f>+'Costos Consolidado'!H9</f>
        <v>2750</v>
      </c>
      <c r="C12" s="48"/>
      <c r="E12" s="10"/>
      <c r="I12" s="11"/>
    </row>
    <row r="13" spans="1:17" x14ac:dyDescent="0.25">
      <c r="A13" s="10" t="s">
        <v>53</v>
      </c>
      <c r="B13" s="36"/>
      <c r="C13" s="48"/>
      <c r="E13" s="47" t="s">
        <v>17</v>
      </c>
      <c r="I13" s="11"/>
    </row>
    <row r="14" spans="1:17" x14ac:dyDescent="0.25">
      <c r="A14" s="10"/>
      <c r="B14" s="36"/>
      <c r="C14" s="48"/>
      <c r="E14" s="10"/>
      <c r="I14" s="11"/>
    </row>
    <row r="15" spans="1:17" x14ac:dyDescent="0.25">
      <c r="A15" s="10" t="s">
        <v>27</v>
      </c>
      <c r="B15" s="36">
        <f>+B12</f>
        <v>2750</v>
      </c>
      <c r="C15" s="48"/>
      <c r="E15" s="10" t="s">
        <v>54</v>
      </c>
      <c r="I15" s="11"/>
    </row>
    <row r="16" spans="1:17" x14ac:dyDescent="0.25">
      <c r="A16" s="10" t="s">
        <v>55</v>
      </c>
      <c r="B16" s="36">
        <f>-'Costos Consolidado'!H11</f>
        <v>723.08871894841263</v>
      </c>
      <c r="C16" s="48"/>
      <c r="E16" s="10" t="s">
        <v>345</v>
      </c>
      <c r="F16" s="65">
        <f>+F22</f>
        <v>1425126</v>
      </c>
      <c r="I16" s="11"/>
    </row>
    <row r="17" spans="1:9" x14ac:dyDescent="0.25">
      <c r="A17" s="10" t="s">
        <v>56</v>
      </c>
      <c r="B17" s="36">
        <f>-'Costos Consolidado'!H10</f>
        <v>893.18799999999999</v>
      </c>
      <c r="C17" s="48"/>
      <c r="E17" s="10" t="s">
        <v>57</v>
      </c>
      <c r="I17" s="11"/>
    </row>
    <row r="18" spans="1:9" x14ac:dyDescent="0.25">
      <c r="A18" s="10"/>
      <c r="B18" s="36"/>
      <c r="C18" s="33"/>
      <c r="E18" s="10"/>
      <c r="I18" s="11"/>
    </row>
    <row r="19" spans="1:9" x14ac:dyDescent="0.25">
      <c r="A19" s="5" t="s">
        <v>17</v>
      </c>
      <c r="B19" s="35"/>
      <c r="C19" s="77"/>
      <c r="E19" s="5" t="s">
        <v>1</v>
      </c>
      <c r="G19" s="53" t="s">
        <v>58</v>
      </c>
      <c r="H19" s="54" t="s">
        <v>59</v>
      </c>
      <c r="I19" s="11"/>
    </row>
    <row r="20" spans="1:9" x14ac:dyDescent="0.25">
      <c r="A20" s="10"/>
      <c r="B20" s="36"/>
      <c r="C20" s="48"/>
      <c r="E20" s="10"/>
      <c r="G20" s="21" t="s">
        <v>8</v>
      </c>
      <c r="H20" s="102">
        <f>+'Costos Consolidado'!H8</f>
        <v>1000</v>
      </c>
      <c r="I20" s="11"/>
    </row>
    <row r="21" spans="1:9" x14ac:dyDescent="0.25">
      <c r="A21" s="10" t="s">
        <v>60</v>
      </c>
      <c r="B21" s="36"/>
      <c r="C21" s="48"/>
      <c r="E21" s="10" t="s">
        <v>61</v>
      </c>
      <c r="F21" s="81">
        <f>+C30</f>
        <v>389.42484158246106</v>
      </c>
      <c r="G21" s="13" t="s">
        <v>63</v>
      </c>
      <c r="H21" s="103">
        <f>+Inversión!F32</f>
        <v>2500</v>
      </c>
      <c r="I21" s="11"/>
    </row>
    <row r="22" spans="1:9" x14ac:dyDescent="0.25">
      <c r="A22" s="10"/>
      <c r="B22" s="36"/>
      <c r="C22" s="48"/>
      <c r="E22" s="100" t="s">
        <v>346</v>
      </c>
      <c r="F22" s="101">
        <f>+'Gastos Fijos'!B30</f>
        <v>1425126</v>
      </c>
      <c r="G22" s="5" t="s">
        <v>11</v>
      </c>
      <c r="H22" s="22">
        <f>+H21*H20</f>
        <v>2500000</v>
      </c>
      <c r="I22" s="11"/>
    </row>
    <row r="23" spans="1:9" x14ac:dyDescent="0.25">
      <c r="A23" s="5" t="s">
        <v>1</v>
      </c>
      <c r="B23" s="35"/>
      <c r="C23" s="48"/>
      <c r="E23" s="10" t="s">
        <v>64</v>
      </c>
      <c r="F23" s="7">
        <f>+B17</f>
        <v>893.18799999999999</v>
      </c>
      <c r="H23" s="85"/>
      <c r="I23" s="11"/>
    </row>
    <row r="24" spans="1:9" x14ac:dyDescent="0.25">
      <c r="A24" s="10"/>
      <c r="B24" s="36"/>
      <c r="C24" s="48"/>
      <c r="E24" s="10" t="s">
        <v>65</v>
      </c>
      <c r="F24" s="7">
        <f>+B15</f>
        <v>2750</v>
      </c>
      <c r="I24" s="11"/>
    </row>
    <row r="25" spans="1:9" x14ac:dyDescent="0.25">
      <c r="A25" s="5" t="s">
        <v>66</v>
      </c>
      <c r="B25" s="35"/>
      <c r="C25" s="48"/>
      <c r="D25" s="23"/>
      <c r="E25" s="10" t="s">
        <v>67</v>
      </c>
      <c r="F25" s="7">
        <f>+'Costos Consolidado'!H52</f>
        <v>1133.7232810515873</v>
      </c>
      <c r="I25" s="11"/>
    </row>
    <row r="26" spans="1:9" x14ac:dyDescent="0.25">
      <c r="A26" s="10"/>
      <c r="B26" s="36"/>
      <c r="C26" s="48"/>
      <c r="E26" s="10" t="s">
        <v>352</v>
      </c>
      <c r="F26" s="7">
        <f>+Remus!M34+Honorarios!O39</f>
        <v>1380</v>
      </c>
      <c r="I26" s="11"/>
    </row>
    <row r="27" spans="1:9" x14ac:dyDescent="0.25">
      <c r="A27" s="78" t="s">
        <v>42</v>
      </c>
      <c r="B27" s="7">
        <f>+B16</f>
        <v>723.08871894841263</v>
      </c>
      <c r="C27" s="79">
        <f>+B27/B28</f>
        <v>0.38942484158246105</v>
      </c>
      <c r="E27" s="60"/>
      <c r="F27" s="41"/>
      <c r="I27" s="11"/>
    </row>
    <row r="28" spans="1:9" x14ac:dyDescent="0.25">
      <c r="A28" s="66" t="s">
        <v>69</v>
      </c>
      <c r="B28" s="24">
        <f>+'Costos Consolidado'!H33</f>
        <v>1856.8119999999999</v>
      </c>
      <c r="C28" s="48"/>
      <c r="E28" s="60" t="s">
        <v>68</v>
      </c>
      <c r="F28" s="41"/>
      <c r="I28" s="11"/>
    </row>
    <row r="29" spans="1:9" x14ac:dyDescent="0.25">
      <c r="A29" s="10"/>
      <c r="B29" s="7"/>
      <c r="C29" s="48"/>
      <c r="E29" s="10" t="s">
        <v>70</v>
      </c>
      <c r="I29" s="11"/>
    </row>
    <row r="30" spans="1:9" x14ac:dyDescent="0.25">
      <c r="A30" s="78" t="s">
        <v>42</v>
      </c>
      <c r="B30" s="7">
        <f>-'Costos Consolidado'!H48</f>
        <v>723088.71894841269</v>
      </c>
      <c r="C30" s="79">
        <f>(B30/B31)</f>
        <v>389.42484158246106</v>
      </c>
      <c r="E30" s="10" t="s">
        <v>71</v>
      </c>
      <c r="G30" s="7">
        <f>IF(F25=0,0,F22/F25)</f>
        <v>1257.0316088755992</v>
      </c>
      <c r="I30" s="11"/>
    </row>
    <row r="31" spans="1:9" x14ac:dyDescent="0.25">
      <c r="A31" s="66" t="s">
        <v>69</v>
      </c>
      <c r="B31" s="24">
        <f>+B28</f>
        <v>1856.8119999999999</v>
      </c>
      <c r="C31" s="48"/>
      <c r="E31" s="82"/>
      <c r="F31" s="87" t="s">
        <v>97</v>
      </c>
      <c r="G31" s="86">
        <f>+IF(G30=0,F22/F25,0)</f>
        <v>0</v>
      </c>
      <c r="I31" s="11"/>
    </row>
    <row r="32" spans="1:9" x14ac:dyDescent="0.25">
      <c r="A32" s="10"/>
      <c r="B32" s="36"/>
      <c r="C32" s="48"/>
      <c r="E32" s="83"/>
      <c r="G32" s="84"/>
      <c r="I32" s="11"/>
    </row>
    <row r="33" spans="1:9" x14ac:dyDescent="0.25">
      <c r="A33" s="5" t="s">
        <v>19</v>
      </c>
      <c r="B33" s="35"/>
      <c r="C33" s="48"/>
      <c r="E33" s="5" t="s">
        <v>19</v>
      </c>
      <c r="F33" s="35"/>
      <c r="I33" s="11"/>
    </row>
    <row r="34" spans="1:9" x14ac:dyDescent="0.25">
      <c r="A34" s="10"/>
      <c r="B34" s="36"/>
      <c r="C34" s="48"/>
      <c r="E34" s="10"/>
      <c r="I34" s="11"/>
    </row>
    <row r="35" spans="1:9" x14ac:dyDescent="0.25">
      <c r="A35" s="10" t="s">
        <v>72</v>
      </c>
      <c r="B35" s="80">
        <f>+C27</f>
        <v>0.38942484158246105</v>
      </c>
      <c r="C35" s="48"/>
      <c r="E35" s="10" t="s">
        <v>73</v>
      </c>
      <c r="F35" s="7">
        <f>+G30</f>
        <v>1257.0316088755992</v>
      </c>
      <c r="I35" s="11"/>
    </row>
    <row r="36" spans="1:9" x14ac:dyDescent="0.25">
      <c r="A36" s="10" t="s">
        <v>74</v>
      </c>
      <c r="B36" s="36">
        <f>+C30</f>
        <v>389.42484158246106</v>
      </c>
      <c r="C36" s="48"/>
      <c r="E36" s="10" t="s">
        <v>75</v>
      </c>
      <c r="F36" s="7">
        <f>+G53</f>
        <v>1425126</v>
      </c>
      <c r="I36" s="11"/>
    </row>
    <row r="37" spans="1:9" x14ac:dyDescent="0.25">
      <c r="A37" s="10"/>
      <c r="B37" s="36"/>
      <c r="C37" s="48"/>
      <c r="E37" s="10" t="s">
        <v>76</v>
      </c>
      <c r="F37" s="7"/>
      <c r="I37" s="11"/>
    </row>
    <row r="38" spans="1:9" x14ac:dyDescent="0.25">
      <c r="A38" s="10" t="s">
        <v>77</v>
      </c>
      <c r="B38" s="36"/>
      <c r="C38" s="48"/>
      <c r="E38" s="10"/>
      <c r="I38" s="11"/>
    </row>
    <row r="39" spans="1:9" x14ac:dyDescent="0.25">
      <c r="A39" s="13" t="s">
        <v>78</v>
      </c>
      <c r="B39" s="42"/>
      <c r="C39" s="51"/>
      <c r="E39" s="13"/>
      <c r="F39" s="41"/>
      <c r="G39" s="41"/>
      <c r="H39" s="41"/>
      <c r="I39" s="14"/>
    </row>
    <row r="41" spans="1:9" x14ac:dyDescent="0.25">
      <c r="A41" s="303" t="s">
        <v>79</v>
      </c>
      <c r="B41" s="304"/>
      <c r="C41" s="305"/>
      <c r="E41" s="303" t="s">
        <v>79</v>
      </c>
      <c r="F41" s="304"/>
      <c r="G41" s="305"/>
    </row>
    <row r="42" spans="1:9" x14ac:dyDescent="0.25">
      <c r="A42" s="47"/>
      <c r="B42" s="36"/>
      <c r="C42" s="48"/>
      <c r="E42" s="47"/>
      <c r="F42" s="1"/>
      <c r="G42" s="48"/>
    </row>
    <row r="43" spans="1:9" x14ac:dyDescent="0.25">
      <c r="A43" s="5" t="s">
        <v>80</v>
      </c>
      <c r="B43" s="25">
        <f>+B35</f>
        <v>0.38942484158246105</v>
      </c>
      <c r="C43" s="48"/>
      <c r="E43" s="5" t="s">
        <v>81</v>
      </c>
      <c r="F43" s="15">
        <f>+G30</f>
        <v>1257.0316088755992</v>
      </c>
      <c r="G43" s="48"/>
    </row>
    <row r="44" spans="1:9" x14ac:dyDescent="0.25">
      <c r="A44" s="5"/>
      <c r="B44" s="26"/>
      <c r="C44" s="48"/>
      <c r="E44" s="47"/>
      <c r="F44" s="52"/>
      <c r="G44" s="48"/>
    </row>
    <row r="45" spans="1:9" x14ac:dyDescent="0.25">
      <c r="A45" s="5" t="s">
        <v>82</v>
      </c>
      <c r="B45" s="27" t="s">
        <v>83</v>
      </c>
      <c r="C45" s="28" t="s">
        <v>84</v>
      </c>
      <c r="D45" s="3"/>
      <c r="E45" s="5" t="s">
        <v>82</v>
      </c>
      <c r="F45" s="27" t="s">
        <v>83</v>
      </c>
      <c r="G45" s="28" t="s">
        <v>84</v>
      </c>
    </row>
    <row r="46" spans="1:9" x14ac:dyDescent="0.25">
      <c r="A46" s="10" t="s">
        <v>85</v>
      </c>
      <c r="B46" s="29">
        <f>-B17</f>
        <v>-893.18799999999999</v>
      </c>
      <c r="C46" s="30">
        <f>+B46*$B$43</f>
        <v>-347.8295954033552</v>
      </c>
      <c r="D46" s="3"/>
      <c r="E46" s="10" t="s">
        <v>85</v>
      </c>
      <c r="F46" s="7">
        <f>+B46</f>
        <v>-893.18799999999999</v>
      </c>
      <c r="G46" s="11">
        <f>+F46*$F$43</f>
        <v>-1122765.5486683787</v>
      </c>
    </row>
    <row r="47" spans="1:9" x14ac:dyDescent="0.25">
      <c r="A47" s="10" t="s">
        <v>86</v>
      </c>
      <c r="B47" s="29">
        <f>-B16</f>
        <v>-723.08871894841263</v>
      </c>
      <c r="C47" s="30">
        <f>+B47</f>
        <v>-723.08871894841263</v>
      </c>
      <c r="D47" s="3"/>
      <c r="E47" s="10" t="s">
        <v>86</v>
      </c>
      <c r="F47" s="7">
        <f>+B47</f>
        <v>-723.08871894841263</v>
      </c>
      <c r="G47" s="11">
        <f>+F47*$F$43</f>
        <v>-908945.37573951914</v>
      </c>
    </row>
    <row r="48" spans="1:9" x14ac:dyDescent="0.25">
      <c r="A48" s="13"/>
      <c r="B48" s="31"/>
      <c r="C48" s="32"/>
      <c r="D48" s="3"/>
      <c r="E48" s="10"/>
      <c r="G48" s="33"/>
    </row>
    <row r="49" spans="1:17" x14ac:dyDescent="0.25">
      <c r="A49" s="5" t="s">
        <v>87</v>
      </c>
      <c r="B49" s="34">
        <f>SUM(B46:B48)</f>
        <v>-1616.2767189484125</v>
      </c>
      <c r="C49" s="20">
        <f>SUM(C46:C48)</f>
        <v>-1070.9183143517678</v>
      </c>
      <c r="D49" s="3"/>
      <c r="E49" s="5" t="s">
        <v>87</v>
      </c>
      <c r="F49" s="35"/>
      <c r="G49" s="15">
        <f>SUM(G45:G48)</f>
        <v>-2031710.924407898</v>
      </c>
    </row>
    <row r="50" spans="1:17" x14ac:dyDescent="0.25">
      <c r="A50" s="10"/>
      <c r="B50" s="29"/>
      <c r="C50" s="11"/>
      <c r="D50" s="29"/>
      <c r="E50" s="10"/>
      <c r="F50" s="7"/>
      <c r="G50" s="48"/>
    </row>
    <row r="51" spans="1:17" x14ac:dyDescent="0.25">
      <c r="A51" s="10" t="s">
        <v>88</v>
      </c>
      <c r="B51" s="29">
        <f>+B15</f>
        <v>2750</v>
      </c>
      <c r="C51" s="11">
        <f>+B51*B43</f>
        <v>1070.9183143517678</v>
      </c>
      <c r="D51" s="29"/>
      <c r="E51" s="10" t="s">
        <v>88</v>
      </c>
      <c r="F51" s="36">
        <f>+B51</f>
        <v>2750</v>
      </c>
      <c r="G51" s="11">
        <f>+F51*F43</f>
        <v>3456836.924407898</v>
      </c>
    </row>
    <row r="52" spans="1:17" x14ac:dyDescent="0.25">
      <c r="A52" s="10"/>
      <c r="B52" s="29"/>
      <c r="C52" s="11"/>
      <c r="D52" s="29"/>
      <c r="E52" s="10"/>
      <c r="F52" s="7"/>
      <c r="G52" s="11"/>
      <c r="J52" s="29"/>
    </row>
    <row r="53" spans="1:17" x14ac:dyDescent="0.25">
      <c r="A53" s="49" t="s">
        <v>89</v>
      </c>
      <c r="B53" s="37"/>
      <c r="C53" s="50">
        <f>+C49+C51</f>
        <v>0</v>
      </c>
      <c r="E53" s="49" t="s">
        <v>62</v>
      </c>
      <c r="F53" s="37"/>
      <c r="G53" s="50">
        <f>+G49+G51</f>
        <v>1425126</v>
      </c>
    </row>
    <row r="54" spans="1:17" x14ac:dyDescent="0.25">
      <c r="A54" s="10"/>
      <c r="B54" s="38"/>
      <c r="C54" s="48"/>
      <c r="E54" s="13"/>
      <c r="F54" s="41"/>
      <c r="G54" s="51"/>
      <c r="J54" s="29"/>
    </row>
    <row r="55" spans="1:17" x14ac:dyDescent="0.25">
      <c r="A55" s="10"/>
      <c r="B55" s="36"/>
      <c r="C55" s="48"/>
    </row>
    <row r="56" spans="1:17" s="4" customFormat="1" x14ac:dyDescent="0.25">
      <c r="A56" s="5" t="s">
        <v>80</v>
      </c>
      <c r="B56" s="25">
        <f>+B36</f>
        <v>389.42484158246106</v>
      </c>
      <c r="C56" s="48"/>
      <c r="E56" s="3"/>
      <c r="F56" s="3"/>
      <c r="G56" s="3"/>
      <c r="H56" s="3"/>
      <c r="I56" s="7"/>
      <c r="J56" s="3"/>
      <c r="K56" s="3"/>
      <c r="L56" s="3"/>
      <c r="M56" s="3"/>
      <c r="N56" s="3"/>
      <c r="O56" s="3"/>
      <c r="P56" s="3"/>
      <c r="Q56" s="3"/>
    </row>
    <row r="57" spans="1:17" s="4" customFormat="1" x14ac:dyDescent="0.25">
      <c r="A57" s="5"/>
      <c r="B57" s="26"/>
      <c r="C57" s="48"/>
      <c r="E57" s="3"/>
      <c r="F57" s="3"/>
      <c r="G57" s="3"/>
      <c r="H57" s="3"/>
      <c r="I57" s="7"/>
      <c r="J57" s="3"/>
      <c r="K57" s="3"/>
      <c r="L57" s="3"/>
      <c r="M57" s="3"/>
      <c r="N57" s="3"/>
      <c r="O57" s="3"/>
      <c r="P57" s="3"/>
      <c r="Q57" s="3"/>
    </row>
    <row r="58" spans="1:17" s="4" customFormat="1" x14ac:dyDescent="0.25">
      <c r="A58" s="5" t="s">
        <v>82</v>
      </c>
      <c r="B58" s="27" t="s">
        <v>83</v>
      </c>
      <c r="C58" s="28" t="s">
        <v>84</v>
      </c>
      <c r="E58" s="3"/>
      <c r="F58" s="3"/>
      <c r="G58" s="3"/>
      <c r="H58" s="3"/>
      <c r="I58" s="7"/>
      <c r="J58" s="3"/>
      <c r="K58" s="3"/>
      <c r="L58" s="3"/>
      <c r="M58" s="3"/>
      <c r="N58" s="3"/>
      <c r="O58" s="3"/>
      <c r="P58" s="3"/>
      <c r="Q58" s="3"/>
    </row>
    <row r="59" spans="1:17" s="4" customFormat="1" x14ac:dyDescent="0.25">
      <c r="A59" s="10" t="s">
        <v>85</v>
      </c>
      <c r="B59" s="7">
        <f>+B46</f>
        <v>-893.18799999999999</v>
      </c>
      <c r="C59" s="11">
        <f>+B59*$B$56</f>
        <v>-347829.5954033552</v>
      </c>
      <c r="E59" s="3"/>
      <c r="F59" s="3"/>
      <c r="G59" s="3"/>
      <c r="H59" s="3"/>
      <c r="I59" s="7"/>
      <c r="J59" s="3"/>
      <c r="K59" s="3"/>
      <c r="L59" s="3"/>
      <c r="M59" s="3"/>
      <c r="N59" s="3"/>
      <c r="O59" s="3"/>
      <c r="P59" s="3"/>
      <c r="Q59" s="3"/>
    </row>
    <row r="60" spans="1:17" s="4" customFormat="1" x14ac:dyDescent="0.25">
      <c r="A60" s="10" t="s">
        <v>86</v>
      </c>
      <c r="B60" s="7">
        <f>+B47</f>
        <v>-723.08871894841263</v>
      </c>
      <c r="C60" s="11">
        <f>+'Costos Consolidado'!H48</f>
        <v>-723088.71894841269</v>
      </c>
      <c r="E60" s="3"/>
      <c r="F60" s="3"/>
      <c r="G60" s="3"/>
      <c r="H60" s="3"/>
      <c r="I60" s="7"/>
      <c r="J60" s="3"/>
      <c r="K60" s="3"/>
      <c r="L60" s="3"/>
      <c r="M60" s="3"/>
      <c r="N60" s="3"/>
      <c r="O60" s="3"/>
      <c r="P60" s="3"/>
      <c r="Q60" s="3"/>
    </row>
    <row r="61" spans="1:17" s="4" customFormat="1" x14ac:dyDescent="0.25">
      <c r="A61" s="13"/>
      <c r="B61" s="39"/>
      <c r="C61" s="14"/>
      <c r="E61" s="3"/>
      <c r="F61" s="3"/>
      <c r="G61" s="3"/>
      <c r="H61" s="3"/>
      <c r="I61" s="7"/>
      <c r="J61" s="3"/>
      <c r="K61" s="3"/>
      <c r="L61" s="3"/>
      <c r="M61" s="3"/>
      <c r="N61" s="3"/>
      <c r="O61" s="3"/>
      <c r="P61" s="3"/>
      <c r="Q61" s="3"/>
    </row>
    <row r="62" spans="1:17" s="4" customFormat="1" x14ac:dyDescent="0.25">
      <c r="A62" s="5" t="s">
        <v>87</v>
      </c>
      <c r="B62" s="40">
        <f>SUM(B59:B61)</f>
        <v>-1616.2767189484125</v>
      </c>
      <c r="C62" s="15">
        <f>SUM(C59:C61)</f>
        <v>-1070918.3143517678</v>
      </c>
      <c r="E62" s="3"/>
      <c r="F62" s="3"/>
      <c r="G62" s="3"/>
      <c r="H62" s="3"/>
      <c r="I62" s="7"/>
      <c r="J62" s="3"/>
      <c r="K62" s="3"/>
      <c r="L62" s="3"/>
      <c r="M62" s="3"/>
      <c r="N62" s="3"/>
      <c r="O62" s="3"/>
      <c r="P62" s="3"/>
      <c r="Q62" s="3"/>
    </row>
    <row r="63" spans="1:17" s="4" customFormat="1" x14ac:dyDescent="0.25">
      <c r="A63" s="10"/>
      <c r="B63" s="29"/>
      <c r="C63" s="48"/>
      <c r="E63" s="3"/>
      <c r="F63" s="3"/>
      <c r="G63" s="3"/>
      <c r="H63" s="3"/>
      <c r="I63" s="7"/>
      <c r="J63" s="3"/>
      <c r="K63" s="3"/>
      <c r="L63" s="3"/>
      <c r="M63" s="3"/>
      <c r="N63" s="3"/>
      <c r="O63" s="3"/>
      <c r="P63" s="3"/>
      <c r="Q63" s="3"/>
    </row>
    <row r="64" spans="1:17" s="4" customFormat="1" x14ac:dyDescent="0.25">
      <c r="A64" s="10" t="s">
        <v>88</v>
      </c>
      <c r="B64" s="29">
        <f>+B51</f>
        <v>2750</v>
      </c>
      <c r="C64" s="11">
        <f>+B64*B56</f>
        <v>1070918.314351768</v>
      </c>
      <c r="E64" s="3"/>
      <c r="F64" s="3"/>
      <c r="G64" s="3"/>
      <c r="H64" s="3"/>
      <c r="I64" s="7"/>
      <c r="J64" s="3"/>
      <c r="K64" s="3"/>
      <c r="L64" s="3"/>
      <c r="M64" s="3"/>
      <c r="N64" s="3"/>
      <c r="O64" s="3"/>
      <c r="P64" s="3"/>
      <c r="Q64" s="3"/>
    </row>
    <row r="65" spans="1:17" s="4" customFormat="1" x14ac:dyDescent="0.25">
      <c r="A65" s="10"/>
      <c r="B65" s="29"/>
      <c r="C65" s="11"/>
      <c r="E65" s="3"/>
      <c r="F65" s="3"/>
      <c r="G65" s="3"/>
      <c r="H65" s="3"/>
      <c r="I65" s="7"/>
      <c r="J65" s="3"/>
      <c r="K65" s="3"/>
      <c r="L65" s="3"/>
      <c r="M65" s="3"/>
      <c r="N65" s="3"/>
      <c r="O65" s="3"/>
      <c r="P65" s="3"/>
      <c r="Q65" s="3"/>
    </row>
    <row r="66" spans="1:17" s="4" customFormat="1" x14ac:dyDescent="0.25">
      <c r="A66" s="49" t="s">
        <v>89</v>
      </c>
      <c r="B66" s="37"/>
      <c r="C66" s="50">
        <f>+C62+C64</f>
        <v>0</v>
      </c>
      <c r="E66" s="3"/>
      <c r="F66" s="3"/>
      <c r="G66" s="3"/>
      <c r="H66" s="3"/>
      <c r="I66" s="7"/>
      <c r="J66" s="3"/>
      <c r="K66" s="3"/>
      <c r="L66" s="3"/>
      <c r="M66" s="3"/>
      <c r="N66" s="3"/>
      <c r="O66" s="3"/>
      <c r="P66" s="3"/>
      <c r="Q66" s="3"/>
    </row>
    <row r="67" spans="1:17" s="4" customFormat="1" x14ac:dyDescent="0.25">
      <c r="A67" s="13"/>
      <c r="B67" s="42"/>
      <c r="C67" s="51"/>
      <c r="E67" s="3"/>
      <c r="F67" s="3"/>
      <c r="G67" s="3"/>
      <c r="H67" s="3"/>
      <c r="I67" s="7"/>
      <c r="J67" s="3"/>
      <c r="K67" s="3"/>
      <c r="L67" s="3"/>
      <c r="M67" s="3"/>
      <c r="N67" s="3"/>
      <c r="O67" s="3"/>
      <c r="P67" s="3"/>
      <c r="Q67" s="3"/>
    </row>
  </sheetData>
  <mergeCells count="4">
    <mergeCell ref="A8:C8"/>
    <mergeCell ref="E8:I8"/>
    <mergeCell ref="A41:C41"/>
    <mergeCell ref="E41:G4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EC06-CCFC-47E1-9E8C-DC458015E4E9}">
  <dimension ref="B6:R83"/>
  <sheetViews>
    <sheetView showGridLines="0" zoomScale="80" zoomScaleNormal="80" workbookViewId="0">
      <pane ySplit="11" topLeftCell="A12" activePane="bottomLeft" state="frozen"/>
      <selection pane="bottomLeft" activeCell="E51" sqref="E51"/>
    </sheetView>
  </sheetViews>
  <sheetFormatPr baseColWidth="10" defaultRowHeight="15" x14ac:dyDescent="0.25"/>
  <cols>
    <col min="2" max="2" width="30.5703125" bestFit="1" customWidth="1"/>
    <col min="4" max="4" width="13.5703125" bestFit="1" customWidth="1"/>
    <col min="10" max="10" width="11.42578125" bestFit="1" customWidth="1"/>
    <col min="16" max="16" width="13" bestFit="1" customWidth="1"/>
    <col min="17" max="18" width="12.5703125" bestFit="1" customWidth="1"/>
  </cols>
  <sheetData>
    <row r="6" spans="2:18" ht="20.25" x14ac:dyDescent="0.3">
      <c r="B6" s="306" t="s">
        <v>347</v>
      </c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</row>
    <row r="7" spans="2:18" ht="20.25" x14ac:dyDescent="0.3">
      <c r="B7" s="257"/>
      <c r="C7" s="257"/>
      <c r="D7" s="307" t="s">
        <v>305</v>
      </c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256"/>
      <c r="Q7" s="257"/>
      <c r="R7" s="257"/>
    </row>
    <row r="8" spans="2:18" x14ac:dyDescent="0.25">
      <c r="B8" s="258"/>
      <c r="C8" s="259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308" t="s">
        <v>306</v>
      </c>
      <c r="Q8" s="308"/>
      <c r="R8" s="308"/>
    </row>
    <row r="9" spans="2:18" x14ac:dyDescent="0.25">
      <c r="B9" s="258"/>
      <c r="C9" s="259"/>
      <c r="D9" s="260"/>
      <c r="E9" s="260"/>
      <c r="F9" s="260"/>
      <c r="G9" s="260"/>
      <c r="H9" s="260"/>
      <c r="I9" s="260"/>
      <c r="J9" s="262"/>
      <c r="K9" s="260"/>
      <c r="L9" s="260"/>
      <c r="M9" s="260"/>
      <c r="N9" s="260"/>
      <c r="O9" s="260"/>
      <c r="P9" s="261" t="s">
        <v>307</v>
      </c>
      <c r="Q9" s="263">
        <v>0.02</v>
      </c>
      <c r="R9" s="263">
        <v>0.01</v>
      </c>
    </row>
    <row r="10" spans="2:18" x14ac:dyDescent="0.25">
      <c r="B10" s="258"/>
      <c r="C10" s="259"/>
      <c r="D10" s="311"/>
      <c r="E10" s="311"/>
      <c r="F10" s="311">
        <v>5.0000000000000001E-3</v>
      </c>
      <c r="G10" s="311">
        <f>+F10+0.1%</f>
        <v>6.0000000000000001E-3</v>
      </c>
      <c r="H10" s="311">
        <f>+G10+0.1%</f>
        <v>7.0000000000000001E-3</v>
      </c>
      <c r="I10" s="311">
        <f t="shared" ref="I10:O10" si="0">+H10+0.1%</f>
        <v>8.0000000000000002E-3</v>
      </c>
      <c r="J10" s="311">
        <f>+I10+0.5%</f>
        <v>1.3000000000000001E-2</v>
      </c>
      <c r="K10" s="311">
        <f>+J10+0.5%</f>
        <v>1.8000000000000002E-2</v>
      </c>
      <c r="L10" s="311">
        <f>+I10+0.1%</f>
        <v>9.0000000000000011E-3</v>
      </c>
      <c r="M10" s="311">
        <f t="shared" si="0"/>
        <v>1.0000000000000002E-2</v>
      </c>
      <c r="N10" s="311">
        <f>+M10</f>
        <v>1.0000000000000002E-2</v>
      </c>
      <c r="O10" s="311">
        <f>+I10</f>
        <v>8.0000000000000002E-3</v>
      </c>
      <c r="P10" s="261">
        <v>2024</v>
      </c>
      <c r="Q10" s="261">
        <v>2025</v>
      </c>
      <c r="R10" s="261">
        <v>2026</v>
      </c>
    </row>
    <row r="11" spans="2:18" x14ac:dyDescent="0.25">
      <c r="B11" s="264" t="s">
        <v>308</v>
      </c>
      <c r="C11" s="265">
        <v>0</v>
      </c>
      <c r="D11" s="266">
        <v>1</v>
      </c>
      <c r="E11" s="266">
        <v>2</v>
      </c>
      <c r="F11" s="266">
        <v>3</v>
      </c>
      <c r="G11" s="266">
        <v>4</v>
      </c>
      <c r="H11" s="266">
        <v>5</v>
      </c>
      <c r="I11" s="266">
        <v>6</v>
      </c>
      <c r="J11" s="266">
        <v>7</v>
      </c>
      <c r="K11" s="266">
        <v>8</v>
      </c>
      <c r="L11" s="266">
        <v>9</v>
      </c>
      <c r="M11" s="266">
        <v>10</v>
      </c>
      <c r="N11" s="266">
        <v>11</v>
      </c>
      <c r="O11" s="266">
        <v>12</v>
      </c>
      <c r="P11" s="266" t="s">
        <v>309</v>
      </c>
      <c r="Q11" s="266" t="s">
        <v>310</v>
      </c>
      <c r="R11" s="266" t="s">
        <v>311</v>
      </c>
    </row>
    <row r="12" spans="2:18" x14ac:dyDescent="0.25">
      <c r="B12" s="259" t="s">
        <v>333</v>
      </c>
      <c r="C12" s="259"/>
      <c r="D12" s="267">
        <f>+PE!B56</f>
        <v>389.42484158246106</v>
      </c>
      <c r="E12" s="267">
        <f>+PE!F43</f>
        <v>1257.0316088755992</v>
      </c>
      <c r="F12" s="267">
        <f t="shared" ref="F12:N12" si="1">+E12+(E12*F10)</f>
        <v>1263.3167669199772</v>
      </c>
      <c r="G12" s="267">
        <f t="shared" si="1"/>
        <v>1270.8966675214972</v>
      </c>
      <c r="H12" s="267">
        <f t="shared" si="1"/>
        <v>1279.7929441941476</v>
      </c>
      <c r="I12" s="267">
        <f t="shared" si="1"/>
        <v>1290.0312877477008</v>
      </c>
      <c r="J12" s="267">
        <f t="shared" si="1"/>
        <v>1306.8016944884209</v>
      </c>
      <c r="K12" s="267">
        <f t="shared" si="1"/>
        <v>1330.3241249892126</v>
      </c>
      <c r="L12" s="267">
        <f t="shared" si="1"/>
        <v>1342.2970421141156</v>
      </c>
      <c r="M12" s="267">
        <f t="shared" si="1"/>
        <v>1355.7200125352567</v>
      </c>
      <c r="N12" s="267">
        <f t="shared" si="1"/>
        <v>1369.2772126606094</v>
      </c>
      <c r="O12" s="267">
        <f>+N12+(N12*O10)</f>
        <v>1380.2314303618944</v>
      </c>
      <c r="P12" s="267">
        <f>SUM(D12:O12)</f>
        <v>14835.145633990895</v>
      </c>
      <c r="Q12" s="267">
        <f t="shared" ref="Q12:Q15" si="2">+P12+(P12*$Q$9)</f>
        <v>15131.848546670712</v>
      </c>
      <c r="R12" s="267">
        <f>+Q12+(Q12*$R$9)</f>
        <v>15283.167032137419</v>
      </c>
    </row>
    <row r="13" spans="2:18" x14ac:dyDescent="0.25">
      <c r="B13" s="259" t="s">
        <v>334</v>
      </c>
      <c r="C13" s="259"/>
      <c r="D13" s="267">
        <f>+PE!B12</f>
        <v>2750</v>
      </c>
      <c r="E13" s="267">
        <f>+D13</f>
        <v>2750</v>
      </c>
      <c r="F13" s="267">
        <f t="shared" ref="F13:O13" si="3">+E13</f>
        <v>2750</v>
      </c>
      <c r="G13" s="267">
        <f t="shared" si="3"/>
        <v>2750</v>
      </c>
      <c r="H13" s="267">
        <f t="shared" si="3"/>
        <v>2750</v>
      </c>
      <c r="I13" s="267">
        <f t="shared" si="3"/>
        <v>2750</v>
      </c>
      <c r="J13" s="267">
        <f t="shared" si="3"/>
        <v>2750</v>
      </c>
      <c r="K13" s="267">
        <f t="shared" si="3"/>
        <v>2750</v>
      </c>
      <c r="L13" s="267">
        <f t="shared" si="3"/>
        <v>2750</v>
      </c>
      <c r="M13" s="267">
        <f t="shared" si="3"/>
        <v>2750</v>
      </c>
      <c r="N13" s="267">
        <f t="shared" si="3"/>
        <v>2750</v>
      </c>
      <c r="O13" s="267">
        <f t="shared" si="3"/>
        <v>2750</v>
      </c>
      <c r="P13" s="267">
        <f>SUM(D13:O13)</f>
        <v>33000</v>
      </c>
      <c r="Q13" s="267">
        <f t="shared" si="2"/>
        <v>33660</v>
      </c>
      <c r="R13" s="267">
        <f>+Q13+(Q13*$R$9)</f>
        <v>33996.6</v>
      </c>
    </row>
    <row r="14" spans="2:18" x14ac:dyDescent="0.25">
      <c r="B14" s="259" t="s">
        <v>336</v>
      </c>
      <c r="C14" s="259"/>
      <c r="D14" s="267">
        <f>(-'Costo Prod 1'!D19-'Costo Prod 1'!D21)/2</f>
        <v>-142.8125</v>
      </c>
      <c r="E14" s="267">
        <f>+D14</f>
        <v>-142.8125</v>
      </c>
      <c r="F14" s="267">
        <f t="shared" ref="F14:O15" si="4">+E14</f>
        <v>-142.8125</v>
      </c>
      <c r="G14" s="267">
        <f t="shared" si="4"/>
        <v>-142.8125</v>
      </c>
      <c r="H14" s="267">
        <f t="shared" si="4"/>
        <v>-142.8125</v>
      </c>
      <c r="I14" s="267">
        <f t="shared" si="4"/>
        <v>-142.8125</v>
      </c>
      <c r="J14" s="267">
        <f t="shared" si="4"/>
        <v>-142.8125</v>
      </c>
      <c r="K14" s="267">
        <f t="shared" si="4"/>
        <v>-142.8125</v>
      </c>
      <c r="L14" s="267">
        <f t="shared" si="4"/>
        <v>-142.8125</v>
      </c>
      <c r="M14" s="267">
        <f t="shared" si="4"/>
        <v>-142.8125</v>
      </c>
      <c r="N14" s="267">
        <f t="shared" si="4"/>
        <v>-142.8125</v>
      </c>
      <c r="O14" s="267">
        <f t="shared" si="4"/>
        <v>-142.8125</v>
      </c>
      <c r="P14" s="267">
        <f>SUM(D14:O14)</f>
        <v>-1713.75</v>
      </c>
      <c r="Q14" s="267">
        <f t="shared" si="2"/>
        <v>-1748.0250000000001</v>
      </c>
      <c r="R14" s="267">
        <f t="shared" ref="R14:R15" si="5">+Q14+(Q14*$R$9)</f>
        <v>-1765.5052500000002</v>
      </c>
    </row>
    <row r="15" spans="2:18" x14ac:dyDescent="0.25">
      <c r="B15" s="259" t="s">
        <v>335</v>
      </c>
      <c r="C15" s="259"/>
      <c r="D15" s="267">
        <f>(-'Costo Prod 2'!D19-'Costo Prod 2'!D21)/2</f>
        <v>-242.8125</v>
      </c>
      <c r="E15" s="267">
        <f>+D15</f>
        <v>-242.8125</v>
      </c>
      <c r="F15" s="267">
        <f t="shared" si="4"/>
        <v>-242.8125</v>
      </c>
      <c r="G15" s="267">
        <f t="shared" si="4"/>
        <v>-242.8125</v>
      </c>
      <c r="H15" s="267">
        <f t="shared" si="4"/>
        <v>-242.8125</v>
      </c>
      <c r="I15" s="267">
        <f t="shared" si="4"/>
        <v>-242.8125</v>
      </c>
      <c r="J15" s="267">
        <f t="shared" si="4"/>
        <v>-242.8125</v>
      </c>
      <c r="K15" s="267">
        <f t="shared" si="4"/>
        <v>-242.8125</v>
      </c>
      <c r="L15" s="267">
        <f t="shared" si="4"/>
        <v>-242.8125</v>
      </c>
      <c r="M15" s="267">
        <f t="shared" si="4"/>
        <v>-242.8125</v>
      </c>
      <c r="N15" s="267">
        <f t="shared" si="4"/>
        <v>-242.8125</v>
      </c>
      <c r="O15" s="267">
        <f t="shared" si="4"/>
        <v>-242.8125</v>
      </c>
      <c r="P15" s="267">
        <f>SUM(D15:O15)</f>
        <v>-2913.75</v>
      </c>
      <c r="Q15" s="267">
        <f t="shared" si="2"/>
        <v>-2972.0250000000001</v>
      </c>
      <c r="R15" s="267">
        <f t="shared" si="5"/>
        <v>-3001.7452499999999</v>
      </c>
    </row>
    <row r="16" spans="2:18" x14ac:dyDescent="0.25">
      <c r="B16" s="259"/>
      <c r="C16" s="259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</row>
    <row r="17" spans="2:18" x14ac:dyDescent="0.25">
      <c r="B17" s="259" t="s">
        <v>349</v>
      </c>
      <c r="C17" s="259"/>
      <c r="D17" s="267">
        <f>-'Costo Prod 1'!D20</f>
        <v>-507.56299999999999</v>
      </c>
      <c r="E17" s="267">
        <f>+D17</f>
        <v>-507.56299999999999</v>
      </c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</row>
    <row r="18" spans="2:18" x14ac:dyDescent="0.25">
      <c r="B18" s="259"/>
      <c r="C18" s="259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</row>
    <row r="19" spans="2:18" x14ac:dyDescent="0.25">
      <c r="B19" s="259"/>
      <c r="C19" s="259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</row>
    <row r="20" spans="2:18" x14ac:dyDescent="0.25">
      <c r="B20" s="268"/>
      <c r="C20" s="269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</row>
    <row r="21" spans="2:18" x14ac:dyDescent="0.25">
      <c r="B21" s="259" t="s">
        <v>337</v>
      </c>
      <c r="C21" s="259"/>
      <c r="D21" s="267">
        <f>+D13*D12</f>
        <v>1070918.314351768</v>
      </c>
      <c r="E21" s="267">
        <f t="shared" ref="D21:O21" si="6">+E13*E12</f>
        <v>3456836.924407898</v>
      </c>
      <c r="F21" s="267">
        <f t="shared" si="6"/>
        <v>3474121.1090299375</v>
      </c>
      <c r="G21" s="267">
        <f t="shared" si="6"/>
        <v>3494965.8356841174</v>
      </c>
      <c r="H21" s="267">
        <f t="shared" si="6"/>
        <v>3519430.5965339057</v>
      </c>
      <c r="I21" s="267">
        <f t="shared" si="6"/>
        <v>3547586.0413061772</v>
      </c>
      <c r="J21" s="267">
        <f t="shared" si="6"/>
        <v>3593704.6598431575</v>
      </c>
      <c r="K21" s="267">
        <f t="shared" si="6"/>
        <v>3658391.3437203346</v>
      </c>
      <c r="L21" s="267">
        <f t="shared" si="6"/>
        <v>3691316.8658138178</v>
      </c>
      <c r="M21" s="267">
        <f t="shared" si="6"/>
        <v>3728230.0344719561</v>
      </c>
      <c r="N21" s="267">
        <f t="shared" si="6"/>
        <v>3765512.3348166756</v>
      </c>
      <c r="O21" s="267">
        <f t="shared" si="6"/>
        <v>3795636.4334952096</v>
      </c>
      <c r="P21" s="267">
        <f>SUM(D21:O21)</f>
        <v>40796650.49347496</v>
      </c>
      <c r="Q21" s="267">
        <f>+P21+(P21*$Q$9)</f>
        <v>41612583.503344461</v>
      </c>
      <c r="R21" s="267">
        <f>+Q21+(Q21*$R$9)</f>
        <v>42028709.338377908</v>
      </c>
    </row>
    <row r="22" spans="2:18" x14ac:dyDescent="0.25">
      <c r="B22" s="259"/>
      <c r="C22" s="259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</row>
    <row r="23" spans="2:18" x14ac:dyDescent="0.25">
      <c r="B23" s="259"/>
      <c r="C23" s="259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</row>
    <row r="24" spans="2:18" x14ac:dyDescent="0.25">
      <c r="B24" s="271" t="s">
        <v>312</v>
      </c>
      <c r="C24" s="272"/>
      <c r="D24" s="273">
        <f>SUM(D21:D23)</f>
        <v>1070918.314351768</v>
      </c>
      <c r="E24" s="273">
        <f t="shared" ref="E24:R24" si="7">SUM(E21:E23)</f>
        <v>3456836.924407898</v>
      </c>
      <c r="F24" s="273">
        <f t="shared" si="7"/>
        <v>3474121.1090299375</v>
      </c>
      <c r="G24" s="273">
        <f t="shared" si="7"/>
        <v>3494965.8356841174</v>
      </c>
      <c r="H24" s="273">
        <f t="shared" si="7"/>
        <v>3519430.5965339057</v>
      </c>
      <c r="I24" s="273">
        <f t="shared" si="7"/>
        <v>3547586.0413061772</v>
      </c>
      <c r="J24" s="273">
        <f t="shared" si="7"/>
        <v>3593704.6598431575</v>
      </c>
      <c r="K24" s="273">
        <f t="shared" si="7"/>
        <v>3658391.3437203346</v>
      </c>
      <c r="L24" s="273">
        <f t="shared" si="7"/>
        <v>3691316.8658138178</v>
      </c>
      <c r="M24" s="273">
        <f t="shared" si="7"/>
        <v>3728230.0344719561</v>
      </c>
      <c r="N24" s="273">
        <f t="shared" si="7"/>
        <v>3765512.3348166756</v>
      </c>
      <c r="O24" s="273">
        <f t="shared" si="7"/>
        <v>3795636.4334952096</v>
      </c>
      <c r="P24" s="273">
        <f t="shared" si="7"/>
        <v>40796650.49347496</v>
      </c>
      <c r="Q24" s="273">
        <f t="shared" si="7"/>
        <v>41612583.503344461</v>
      </c>
      <c r="R24" s="273">
        <f t="shared" si="7"/>
        <v>42028709.338377908</v>
      </c>
    </row>
    <row r="25" spans="2:18" x14ac:dyDescent="0.25">
      <c r="B25" s="258"/>
      <c r="C25" s="259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</row>
    <row r="26" spans="2:18" x14ac:dyDescent="0.25">
      <c r="B26" s="259" t="s">
        <v>338</v>
      </c>
      <c r="C26" s="259"/>
      <c r="D26" s="267">
        <f>+(D14+D15)*D12</f>
        <v>-150171.95453523655</v>
      </c>
      <c r="E26" s="267">
        <f t="shared" ref="E26:O26" si="8">+(E14+E15)*E12</f>
        <v>-484742.81417265296</v>
      </c>
      <c r="F26" s="267">
        <f t="shared" si="8"/>
        <v>-487166.52824351622</v>
      </c>
      <c r="G26" s="267">
        <f t="shared" si="8"/>
        <v>-490089.52741297736</v>
      </c>
      <c r="H26" s="267">
        <f t="shared" si="8"/>
        <v>-493520.15410486818</v>
      </c>
      <c r="I26" s="267">
        <f t="shared" si="8"/>
        <v>-497468.31533770711</v>
      </c>
      <c r="J26" s="267">
        <f t="shared" si="8"/>
        <v>-503935.40343709732</v>
      </c>
      <c r="K26" s="267">
        <f t="shared" si="8"/>
        <v>-513006.24069896509</v>
      </c>
      <c r="L26" s="267">
        <f t="shared" si="8"/>
        <v>-517623.2968652558</v>
      </c>
      <c r="M26" s="267">
        <f t="shared" si="8"/>
        <v>-522799.52983390837</v>
      </c>
      <c r="N26" s="267">
        <f t="shared" si="8"/>
        <v>-528027.52513224748</v>
      </c>
      <c r="O26" s="267">
        <f t="shared" si="8"/>
        <v>-532251.74533330556</v>
      </c>
      <c r="P26" s="267">
        <f>SUM(D26:O26)</f>
        <v>-5720803.0351077374</v>
      </c>
      <c r="Q26" s="267">
        <f>+P26+(P26*$Q$9)</f>
        <v>-5835219.0958098918</v>
      </c>
      <c r="R26" s="267">
        <f>+Q26+(Q26*$R$9)</f>
        <v>-5893571.2867679903</v>
      </c>
    </row>
    <row r="27" spans="2:18" x14ac:dyDescent="0.25">
      <c r="B27" s="259" t="str">
        <f>+Inversión!A26</f>
        <v>Sueldo Barista</v>
      </c>
      <c r="C27" s="259"/>
      <c r="D27" s="267">
        <f>+(D17)*+$D$12</f>
        <v>-197657.64086811867</v>
      </c>
      <c r="E27" s="267">
        <f>+(E17)*+$E$12</f>
        <v>-638022.73449572572</v>
      </c>
      <c r="F27" s="267">
        <f>-Remus!M36</f>
        <v>-655126</v>
      </c>
      <c r="G27" s="267">
        <f t="shared" ref="G27:O27" si="9">+F27</f>
        <v>-655126</v>
      </c>
      <c r="H27" s="267">
        <f t="shared" si="9"/>
        <v>-655126</v>
      </c>
      <c r="I27" s="267">
        <f t="shared" si="9"/>
        <v>-655126</v>
      </c>
      <c r="J27" s="267">
        <f t="shared" si="9"/>
        <v>-655126</v>
      </c>
      <c r="K27" s="267">
        <f t="shared" si="9"/>
        <v>-655126</v>
      </c>
      <c r="L27" s="267">
        <f t="shared" si="9"/>
        <v>-655126</v>
      </c>
      <c r="M27" s="267">
        <f t="shared" si="9"/>
        <v>-655126</v>
      </c>
      <c r="N27" s="267">
        <f t="shared" si="9"/>
        <v>-655126</v>
      </c>
      <c r="O27" s="267">
        <f t="shared" si="9"/>
        <v>-655126</v>
      </c>
      <c r="P27" s="267">
        <f>SUM(D27:O27)</f>
        <v>-7386940.3753638444</v>
      </c>
      <c r="Q27" s="267">
        <f t="shared" ref="Q27" si="10">+P27+(P27*$Q$9)</f>
        <v>-7534679.182871121</v>
      </c>
      <c r="R27" s="267">
        <f t="shared" ref="R27" si="11">+Q27+(Q27*$R$9)</f>
        <v>-7610025.9746998325</v>
      </c>
    </row>
    <row r="28" spans="2:18" x14ac:dyDescent="0.25">
      <c r="B28" s="259"/>
      <c r="C28" s="259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</row>
    <row r="29" spans="2:18" x14ac:dyDescent="0.25">
      <c r="B29" s="259"/>
      <c r="C29" s="259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</row>
    <row r="30" spans="2:18" x14ac:dyDescent="0.25">
      <c r="B30" s="271" t="s">
        <v>339</v>
      </c>
      <c r="C30" s="272"/>
      <c r="D30" s="273">
        <f t="shared" ref="D30:R30" si="12">SUM(D26:D29)</f>
        <v>-347829.5954033552</v>
      </c>
      <c r="E30" s="273">
        <f t="shared" si="12"/>
        <v>-1122765.5486683787</v>
      </c>
      <c r="F30" s="273">
        <f t="shared" si="12"/>
        <v>-1142292.5282435161</v>
      </c>
      <c r="G30" s="273">
        <f t="shared" si="12"/>
        <v>-1145215.5274129773</v>
      </c>
      <c r="H30" s="273">
        <f t="shared" si="12"/>
        <v>-1148646.1541048682</v>
      </c>
      <c r="I30" s="273">
        <f t="shared" si="12"/>
        <v>-1152594.3153377071</v>
      </c>
      <c r="J30" s="273">
        <f t="shared" si="12"/>
        <v>-1159061.4034370973</v>
      </c>
      <c r="K30" s="273">
        <f t="shared" si="12"/>
        <v>-1168132.240698965</v>
      </c>
      <c r="L30" s="273">
        <f t="shared" si="12"/>
        <v>-1172749.2968652558</v>
      </c>
      <c r="M30" s="273">
        <f t="shared" si="12"/>
        <v>-1177925.5298339084</v>
      </c>
      <c r="N30" s="273">
        <f t="shared" si="12"/>
        <v>-1183153.5251322475</v>
      </c>
      <c r="O30" s="273">
        <f t="shared" si="12"/>
        <v>-1187377.7453333056</v>
      </c>
      <c r="P30" s="273">
        <f t="shared" si="12"/>
        <v>-13107743.410471581</v>
      </c>
      <c r="Q30" s="273">
        <f t="shared" si="12"/>
        <v>-13369898.278681014</v>
      </c>
      <c r="R30" s="273">
        <f t="shared" si="12"/>
        <v>-13503597.261467822</v>
      </c>
    </row>
    <row r="31" spans="2:18" x14ac:dyDescent="0.25">
      <c r="B31" s="259"/>
      <c r="C31" s="259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</row>
    <row r="32" spans="2:18" x14ac:dyDescent="0.25">
      <c r="B32" s="271" t="s">
        <v>340</v>
      </c>
      <c r="C32" s="272"/>
      <c r="D32" s="273">
        <f t="shared" ref="D32:R32" si="13">+D24+D30</f>
        <v>723088.7189484128</v>
      </c>
      <c r="E32" s="273">
        <f t="shared" si="13"/>
        <v>2334071.3757395195</v>
      </c>
      <c r="F32" s="273">
        <f t="shared" si="13"/>
        <v>2331828.5807864214</v>
      </c>
      <c r="G32" s="273">
        <f t="shared" si="13"/>
        <v>2349750.3082711399</v>
      </c>
      <c r="H32" s="273">
        <f t="shared" si="13"/>
        <v>2370784.4424290378</v>
      </c>
      <c r="I32" s="273">
        <f t="shared" si="13"/>
        <v>2394991.7259684699</v>
      </c>
      <c r="J32" s="273">
        <f t="shared" si="13"/>
        <v>2434643.2564060604</v>
      </c>
      <c r="K32" s="273">
        <f t="shared" si="13"/>
        <v>2490259.1030213693</v>
      </c>
      <c r="L32" s="273">
        <f t="shared" si="13"/>
        <v>2518567.5689485623</v>
      </c>
      <c r="M32" s="273">
        <f t="shared" si="13"/>
        <v>2550304.5046380479</v>
      </c>
      <c r="N32" s="273">
        <f t="shared" si="13"/>
        <v>2582358.8096844284</v>
      </c>
      <c r="O32" s="273">
        <f t="shared" si="13"/>
        <v>2608258.688161904</v>
      </c>
      <c r="P32" s="273">
        <f t="shared" si="13"/>
        <v>27688907.083003379</v>
      </c>
      <c r="Q32" s="273">
        <f t="shared" si="13"/>
        <v>28242685.224663448</v>
      </c>
      <c r="R32" s="273">
        <f t="shared" si="13"/>
        <v>28525112.076910086</v>
      </c>
    </row>
    <row r="33" spans="2:18" x14ac:dyDescent="0.25">
      <c r="B33" s="258"/>
      <c r="C33" s="259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</row>
    <row r="34" spans="2:18" x14ac:dyDescent="0.25">
      <c r="B34" s="264" t="s">
        <v>343</v>
      </c>
      <c r="C34" s="265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</row>
    <row r="35" spans="2:18" x14ac:dyDescent="0.25">
      <c r="B35" s="259" t="str">
        <f>+'Costos Consolidado'!B37</f>
        <v>Agua</v>
      </c>
      <c r="C35" s="259"/>
      <c r="D35" s="267">
        <f>+'Costos Consolidado'!H37</f>
        <v>-25000</v>
      </c>
      <c r="E35" s="267">
        <f>-('Gastos Fijos'!H21*'Cash Flow'!$E$12)</f>
        <v>-31425.79022188998</v>
      </c>
      <c r="F35" s="267">
        <f>-'Gastos Fijos'!B21</f>
        <v>-50000</v>
      </c>
      <c r="G35" s="267">
        <f>+F35+(F35*$G$10)</f>
        <v>-50300</v>
      </c>
      <c r="H35" s="267">
        <f>+G35+(G35*$H$10)</f>
        <v>-50652.1</v>
      </c>
      <c r="I35" s="267">
        <f>+H35+(H35*$I$10)</f>
        <v>-51057.316800000001</v>
      </c>
      <c r="J35" s="267">
        <f>+I35+(I35*$J$10)</f>
        <v>-51721.061918400002</v>
      </c>
      <c r="K35" s="267">
        <f>+J35+(J35*$K$10)</f>
        <v>-52652.0410329312</v>
      </c>
      <c r="L35" s="267">
        <f>+K35+(K35*$L$10)</f>
        <v>-53125.909402227582</v>
      </c>
      <c r="M35" s="267">
        <f>+L35+(L35*$M$10)</f>
        <v>-53657.168496249855</v>
      </c>
      <c r="N35" s="267">
        <f>+M35+(M35*$N$10)</f>
        <v>-54193.740181212357</v>
      </c>
      <c r="O35" s="267">
        <f>+N35+(N35*$O$10)</f>
        <v>-54627.290102662053</v>
      </c>
      <c r="P35" s="267">
        <f>SUM(D35:O35)</f>
        <v>-578412.41815557308</v>
      </c>
      <c r="Q35" s="267">
        <f>+P35+(P35*$Q$9)</f>
        <v>-589980.66651868459</v>
      </c>
      <c r="R35" s="267">
        <f>+Q35+(Q35*$Q$9)</f>
        <v>-601780.27984905825</v>
      </c>
    </row>
    <row r="36" spans="2:18" x14ac:dyDescent="0.25">
      <c r="B36" s="259" t="str">
        <f>+'Costos Consolidado'!B38</f>
        <v>Luz</v>
      </c>
      <c r="C36" s="259"/>
      <c r="D36" s="267">
        <f>+'Costos Consolidado'!H38</f>
        <v>-25000</v>
      </c>
      <c r="E36" s="267">
        <f>-('Gastos Fijos'!H22*'Cash Flow'!$E$12)</f>
        <v>-31425.79022188998</v>
      </c>
      <c r="F36" s="267">
        <f>-'Gastos Fijos'!B22</f>
        <v>-50000</v>
      </c>
      <c r="G36" s="267">
        <f t="shared" ref="G36:G40" si="14">+F36+(F36*$G$10)</f>
        <v>-50300</v>
      </c>
      <c r="H36" s="267">
        <f t="shared" ref="H36:H40" si="15">+G36+(G36*$H$10)</f>
        <v>-50652.1</v>
      </c>
      <c r="I36" s="267">
        <f t="shared" ref="I36:I40" si="16">+H36+(H36*$I$10)</f>
        <v>-51057.316800000001</v>
      </c>
      <c r="J36" s="267">
        <f t="shared" ref="J36:J40" si="17">+I36+(I36*$J$10)</f>
        <v>-51721.061918400002</v>
      </c>
      <c r="K36" s="267">
        <f t="shared" ref="K36:K40" si="18">+J36+(J36*$K$10)</f>
        <v>-52652.0410329312</v>
      </c>
      <c r="L36" s="267">
        <f t="shared" ref="L36:L40" si="19">+K36+(K36*$L$10)</f>
        <v>-53125.909402227582</v>
      </c>
      <c r="M36" s="267">
        <f t="shared" ref="M36:M40" si="20">+L36+(L36*$M$10)</f>
        <v>-53657.168496249855</v>
      </c>
      <c r="N36" s="267">
        <f t="shared" ref="N36:N40" si="21">+M36+(M36*$N$10)</f>
        <v>-54193.740181212357</v>
      </c>
      <c r="O36" s="267">
        <f t="shared" ref="O36:O40" si="22">+N36+(N36*$O$10)</f>
        <v>-54627.290102662053</v>
      </c>
      <c r="P36" s="267">
        <f t="shared" ref="P36:P41" si="23">SUM(D36:O36)</f>
        <v>-578412.41815557308</v>
      </c>
      <c r="Q36" s="267">
        <f t="shared" ref="Q36:R36" si="24">+P36+(P36*$Q$9)</f>
        <v>-589980.66651868459</v>
      </c>
      <c r="R36" s="267">
        <f t="shared" si="24"/>
        <v>-601780.27984905825</v>
      </c>
    </row>
    <row r="37" spans="2:18" x14ac:dyDescent="0.25">
      <c r="B37" s="259" t="str">
        <f>+'Costos Consolidado'!B39</f>
        <v>Gas</v>
      </c>
      <c r="C37" s="258"/>
      <c r="D37" s="267">
        <f>+'Costos Consolidado'!H39</f>
        <v>-25000</v>
      </c>
      <c r="E37" s="267">
        <f>-('Gastos Fijos'!H23*'Cash Flow'!$E$12)</f>
        <v>-31425.79022188998</v>
      </c>
      <c r="F37" s="267">
        <f>-'Gastos Fijos'!B23</f>
        <v>-50000</v>
      </c>
      <c r="G37" s="267">
        <f t="shared" si="14"/>
        <v>-50300</v>
      </c>
      <c r="H37" s="267">
        <f t="shared" si="15"/>
        <v>-50652.1</v>
      </c>
      <c r="I37" s="267">
        <f t="shared" si="16"/>
        <v>-51057.316800000001</v>
      </c>
      <c r="J37" s="267">
        <f t="shared" si="17"/>
        <v>-51721.061918400002</v>
      </c>
      <c r="K37" s="267">
        <f t="shared" si="18"/>
        <v>-52652.0410329312</v>
      </c>
      <c r="L37" s="267">
        <f t="shared" si="19"/>
        <v>-53125.909402227582</v>
      </c>
      <c r="M37" s="267">
        <f t="shared" si="20"/>
        <v>-53657.168496249855</v>
      </c>
      <c r="N37" s="267">
        <f t="shared" si="21"/>
        <v>-54193.740181212357</v>
      </c>
      <c r="O37" s="267">
        <f t="shared" si="22"/>
        <v>-54627.290102662053</v>
      </c>
      <c r="P37" s="267">
        <f t="shared" si="23"/>
        <v>-578412.41815557308</v>
      </c>
      <c r="Q37" s="267">
        <f t="shared" ref="Q37:R37" si="25">+P37+(P37*$Q$9)</f>
        <v>-589980.66651868459</v>
      </c>
      <c r="R37" s="267">
        <f t="shared" si="25"/>
        <v>-601780.27984905825</v>
      </c>
    </row>
    <row r="38" spans="2:18" x14ac:dyDescent="0.25">
      <c r="B38" s="259" t="str">
        <f>+'Costos Consolidado'!B40</f>
        <v>Internet-Televisión-Telefonía</v>
      </c>
      <c r="C38" s="258"/>
      <c r="D38" s="267">
        <f>+'Costos Consolidado'!H40</f>
        <v>-20000</v>
      </c>
      <c r="E38" s="267">
        <f>-('Gastos Fijos'!H24*'Cash Flow'!$E$12)</f>
        <v>-25140.632177511983</v>
      </c>
      <c r="F38" s="267">
        <f>-'Gastos Fijos'!B24</f>
        <v>-40000</v>
      </c>
      <c r="G38" s="267">
        <f t="shared" si="14"/>
        <v>-40240</v>
      </c>
      <c r="H38" s="267">
        <f t="shared" si="15"/>
        <v>-40521.68</v>
      </c>
      <c r="I38" s="267">
        <f t="shared" si="16"/>
        <v>-40845.853439999999</v>
      </c>
      <c r="J38" s="267">
        <f t="shared" si="17"/>
        <v>-41376.849534720001</v>
      </c>
      <c r="K38" s="267">
        <f t="shared" si="18"/>
        <v>-42121.632826344961</v>
      </c>
      <c r="L38" s="267">
        <f t="shared" si="19"/>
        <v>-42500.727521782064</v>
      </c>
      <c r="M38" s="267">
        <f t="shared" si="20"/>
        <v>-42925.734796999888</v>
      </c>
      <c r="N38" s="267">
        <f t="shared" si="21"/>
        <v>-43354.992144969889</v>
      </c>
      <c r="O38" s="267">
        <f t="shared" si="22"/>
        <v>-43701.832082129651</v>
      </c>
      <c r="P38" s="267">
        <f t="shared" si="23"/>
        <v>-462729.93452445843</v>
      </c>
      <c r="Q38" s="267">
        <f t="shared" ref="Q38:R38" si="26">+P38+(P38*$Q$9)</f>
        <v>-471984.53321494762</v>
      </c>
      <c r="R38" s="267">
        <f t="shared" si="26"/>
        <v>-481424.22387924657</v>
      </c>
    </row>
    <row r="39" spans="2:18" x14ac:dyDescent="0.25">
      <c r="B39" s="259" t="str">
        <f>+'Costos Consolidado'!B41</f>
        <v>Publicidad y Seguros</v>
      </c>
      <c r="C39" s="258"/>
      <c r="D39" s="267">
        <f>+'Costos Consolidado'!H41</f>
        <v>-40000</v>
      </c>
      <c r="E39" s="267">
        <f>-('Gastos Fijos'!H25*'Cash Flow'!$E$12)</f>
        <v>-50281.264355023966</v>
      </c>
      <c r="F39" s="267">
        <f>-'Gastos Fijos'!B25</f>
        <v>-80000</v>
      </c>
      <c r="G39" s="267">
        <f t="shared" si="14"/>
        <v>-80480</v>
      </c>
      <c r="H39" s="267">
        <f t="shared" si="15"/>
        <v>-81043.360000000001</v>
      </c>
      <c r="I39" s="267">
        <f t="shared" si="16"/>
        <v>-81691.706879999998</v>
      </c>
      <c r="J39" s="267">
        <f t="shared" si="17"/>
        <v>-82753.699069440001</v>
      </c>
      <c r="K39" s="267">
        <f t="shared" si="18"/>
        <v>-84243.265652689923</v>
      </c>
      <c r="L39" s="267">
        <f t="shared" si="19"/>
        <v>-85001.455043564129</v>
      </c>
      <c r="M39" s="267">
        <f t="shared" si="20"/>
        <v>-85851.469593999776</v>
      </c>
      <c r="N39" s="267">
        <f t="shared" si="21"/>
        <v>-86709.984289939777</v>
      </c>
      <c r="O39" s="267">
        <f t="shared" si="22"/>
        <v>-87403.664164259302</v>
      </c>
      <c r="P39" s="267">
        <f t="shared" si="23"/>
        <v>-925459.86904891685</v>
      </c>
      <c r="Q39" s="267">
        <f t="shared" ref="Q39:R39" si="27">+P39+(P39*$Q$9)</f>
        <v>-943969.06642989523</v>
      </c>
      <c r="R39" s="267">
        <f t="shared" si="27"/>
        <v>-962848.44775849313</v>
      </c>
    </row>
    <row r="40" spans="2:18" x14ac:dyDescent="0.25">
      <c r="B40" s="259" t="str">
        <f>+'Costos Consolidado'!B42</f>
        <v>Arriendo</v>
      </c>
      <c r="C40" s="258"/>
      <c r="D40" s="267">
        <f>+'Costos Consolidado'!H42</f>
        <v>-250000</v>
      </c>
      <c r="E40" s="267">
        <f>-('Gastos Fijos'!H26*'Cash Flow'!$E$12)</f>
        <v>-314257.90221889981</v>
      </c>
      <c r="F40" s="267">
        <f>-'Gastos Fijos'!B26</f>
        <v>-500000</v>
      </c>
      <c r="G40" s="267">
        <f t="shared" si="14"/>
        <v>-503000</v>
      </c>
      <c r="H40" s="267">
        <f t="shared" si="15"/>
        <v>-506521</v>
      </c>
      <c r="I40" s="267">
        <f t="shared" si="16"/>
        <v>-510573.16800000001</v>
      </c>
      <c r="J40" s="267">
        <f t="shared" si="17"/>
        <v>-517210.61918400001</v>
      </c>
      <c r="K40" s="267">
        <f t="shared" si="18"/>
        <v>-526520.41032931197</v>
      </c>
      <c r="L40" s="267">
        <f t="shared" si="19"/>
        <v>-531259.09402227576</v>
      </c>
      <c r="M40" s="267">
        <f t="shared" si="20"/>
        <v>-536571.68496249849</v>
      </c>
      <c r="N40" s="267">
        <f t="shared" si="21"/>
        <v>-541937.40181212348</v>
      </c>
      <c r="O40" s="267">
        <f t="shared" si="22"/>
        <v>-546272.90102662053</v>
      </c>
      <c r="P40" s="267">
        <f t="shared" si="23"/>
        <v>-5784124.1815557303</v>
      </c>
      <c r="Q40" s="267">
        <f t="shared" ref="Q40:R40" si="28">+P40+(P40*$Q$9)</f>
        <v>-5899806.6651868448</v>
      </c>
      <c r="R40" s="267">
        <f t="shared" si="28"/>
        <v>-6017802.798490582</v>
      </c>
    </row>
    <row r="41" spans="2:18" x14ac:dyDescent="0.25">
      <c r="B41" s="259" t="str">
        <f>+'Costos Consolidado'!B43</f>
        <v>Depreciaciones</v>
      </c>
      <c r="C41" s="258"/>
      <c r="D41" s="267">
        <f>+'Costos Consolidado'!H43</f>
        <v>-10525.718948412699</v>
      </c>
      <c r="E41" s="267">
        <f>-Activos!AC14*'Cash Flow'!E12</f>
        <v>-13231.161424295595</v>
      </c>
      <c r="F41" s="267">
        <f>-Activos!I26</f>
        <v>-21051.437896825399</v>
      </c>
      <c r="G41" s="267">
        <f>+F41</f>
        <v>-21051.437896825399</v>
      </c>
      <c r="H41" s="267">
        <f t="shared" ref="H41:O41" si="29">+G41</f>
        <v>-21051.437896825399</v>
      </c>
      <c r="I41" s="267">
        <f t="shared" si="29"/>
        <v>-21051.437896825399</v>
      </c>
      <c r="J41" s="267">
        <f t="shared" si="29"/>
        <v>-21051.437896825399</v>
      </c>
      <c r="K41" s="267">
        <f t="shared" si="29"/>
        <v>-21051.437896825399</v>
      </c>
      <c r="L41" s="267">
        <f t="shared" si="29"/>
        <v>-21051.437896825399</v>
      </c>
      <c r="M41" s="267">
        <f t="shared" si="29"/>
        <v>-21051.437896825399</v>
      </c>
      <c r="N41" s="267">
        <f t="shared" si="29"/>
        <v>-21051.437896825399</v>
      </c>
      <c r="O41" s="267">
        <f t="shared" si="29"/>
        <v>-21051.437896825399</v>
      </c>
      <c r="P41" s="267">
        <f t="shared" si="23"/>
        <v>-234271.25934096231</v>
      </c>
      <c r="Q41" s="267">
        <f t="shared" ref="Q41:R42" si="30">+P41+(P41*$Q$9)</f>
        <v>-238956.68452778156</v>
      </c>
      <c r="R41" s="267">
        <f t="shared" si="30"/>
        <v>-243735.8182183372</v>
      </c>
    </row>
    <row r="42" spans="2:18" x14ac:dyDescent="0.25">
      <c r="B42" s="259" t="str">
        <f>+'Costos Consolidado'!B44</f>
        <v>Sueldo Cajera Administrativa</v>
      </c>
      <c r="C42" s="258"/>
      <c r="D42" s="267">
        <f>+'Costos Consolidado'!H44</f>
        <v>-327563</v>
      </c>
      <c r="E42" s="267">
        <f>-('Gastos Fijos'!H27*'Cash Flow'!$E$12)</f>
        <v>-411757.04489811789</v>
      </c>
      <c r="F42" s="267">
        <f>-Remus!P36</f>
        <v>-655126</v>
      </c>
      <c r="G42" s="267">
        <f t="shared" ref="G42:O42" si="31">+F42</f>
        <v>-655126</v>
      </c>
      <c r="H42" s="267">
        <f t="shared" si="31"/>
        <v>-655126</v>
      </c>
      <c r="I42" s="267">
        <f t="shared" si="31"/>
        <v>-655126</v>
      </c>
      <c r="J42" s="267">
        <f t="shared" si="31"/>
        <v>-655126</v>
      </c>
      <c r="K42" s="267">
        <f t="shared" si="31"/>
        <v>-655126</v>
      </c>
      <c r="L42" s="267">
        <f t="shared" si="31"/>
        <v>-655126</v>
      </c>
      <c r="M42" s="267">
        <f t="shared" si="31"/>
        <v>-655126</v>
      </c>
      <c r="N42" s="267">
        <f t="shared" si="31"/>
        <v>-655126</v>
      </c>
      <c r="O42" s="267">
        <f t="shared" si="31"/>
        <v>-655126</v>
      </c>
      <c r="P42" s="267">
        <f>SUM(D42:O42)</f>
        <v>-7290580.0448981179</v>
      </c>
      <c r="Q42" s="267">
        <f t="shared" si="30"/>
        <v>-7436391.6457960801</v>
      </c>
      <c r="R42" s="267">
        <f t="shared" si="30"/>
        <v>-7585119.4787120018</v>
      </c>
    </row>
    <row r="43" spans="2:18" x14ac:dyDescent="0.25">
      <c r="B43" s="259"/>
      <c r="C43" s="258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</row>
    <row r="44" spans="2:18" x14ac:dyDescent="0.25">
      <c r="B44" s="259"/>
      <c r="C44" s="259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</row>
    <row r="45" spans="2:18" x14ac:dyDescent="0.25">
      <c r="B45" s="271" t="s">
        <v>313</v>
      </c>
      <c r="C45" s="272"/>
      <c r="D45" s="273">
        <f t="shared" ref="D45:R45" si="32">SUM(D35:D44)</f>
        <v>-723088.71894841269</v>
      </c>
      <c r="E45" s="273">
        <f t="shared" si="32"/>
        <v>-908945.37573951925</v>
      </c>
      <c r="F45" s="273">
        <f t="shared" si="32"/>
        <v>-1446177.4378968254</v>
      </c>
      <c r="G45" s="273">
        <f t="shared" si="32"/>
        <v>-1450797.4378968254</v>
      </c>
      <c r="H45" s="273">
        <f t="shared" si="32"/>
        <v>-1456219.7778968252</v>
      </c>
      <c r="I45" s="273">
        <f t="shared" si="32"/>
        <v>-1462460.1166168253</v>
      </c>
      <c r="J45" s="273">
        <f t="shared" si="32"/>
        <v>-1472681.7914401854</v>
      </c>
      <c r="K45" s="273">
        <f t="shared" si="32"/>
        <v>-1487018.8698039658</v>
      </c>
      <c r="L45" s="273">
        <f t="shared" si="32"/>
        <v>-1494316.4426911301</v>
      </c>
      <c r="M45" s="273">
        <f t="shared" si="32"/>
        <v>-1502497.8327390731</v>
      </c>
      <c r="N45" s="273">
        <f t="shared" si="32"/>
        <v>-1510761.0366874957</v>
      </c>
      <c r="O45" s="273">
        <f t="shared" si="32"/>
        <v>-1517437.7054778212</v>
      </c>
      <c r="P45" s="273">
        <f t="shared" si="32"/>
        <v>-16432402.543834906</v>
      </c>
      <c r="Q45" s="273">
        <f t="shared" si="32"/>
        <v>-16761050.594711602</v>
      </c>
      <c r="R45" s="273">
        <f t="shared" si="32"/>
        <v>-17096271.606605835</v>
      </c>
    </row>
    <row r="46" spans="2:18" x14ac:dyDescent="0.25">
      <c r="B46" s="271" t="s">
        <v>314</v>
      </c>
      <c r="C46" s="272"/>
      <c r="D46" s="273">
        <f>+D45</f>
        <v>-723088.71894841269</v>
      </c>
      <c r="E46" s="273">
        <f t="shared" ref="E46:R46" si="33">+E45</f>
        <v>-908945.37573951925</v>
      </c>
      <c r="F46" s="273">
        <f t="shared" si="33"/>
        <v>-1446177.4378968254</v>
      </c>
      <c r="G46" s="273">
        <f t="shared" si="33"/>
        <v>-1450797.4378968254</v>
      </c>
      <c r="H46" s="273">
        <f t="shared" si="33"/>
        <v>-1456219.7778968252</v>
      </c>
      <c r="I46" s="273">
        <f t="shared" si="33"/>
        <v>-1462460.1166168253</v>
      </c>
      <c r="J46" s="273">
        <f t="shared" si="33"/>
        <v>-1472681.7914401854</v>
      </c>
      <c r="K46" s="273">
        <f t="shared" si="33"/>
        <v>-1487018.8698039658</v>
      </c>
      <c r="L46" s="273">
        <f t="shared" si="33"/>
        <v>-1494316.4426911301</v>
      </c>
      <c r="M46" s="273">
        <f t="shared" si="33"/>
        <v>-1502497.8327390731</v>
      </c>
      <c r="N46" s="273">
        <f t="shared" si="33"/>
        <v>-1510761.0366874957</v>
      </c>
      <c r="O46" s="273">
        <f t="shared" si="33"/>
        <v>-1517437.7054778212</v>
      </c>
      <c r="P46" s="273">
        <f t="shared" si="33"/>
        <v>-16432402.543834906</v>
      </c>
      <c r="Q46" s="273">
        <f t="shared" si="33"/>
        <v>-16761050.594711602</v>
      </c>
      <c r="R46" s="273">
        <f t="shared" si="33"/>
        <v>-17096271.606605835</v>
      </c>
    </row>
    <row r="47" spans="2:18" x14ac:dyDescent="0.25">
      <c r="B47" s="271" t="s">
        <v>315</v>
      </c>
      <c r="C47" s="272"/>
      <c r="D47" s="273">
        <f>+D32+D46</f>
        <v>0</v>
      </c>
      <c r="E47" s="273">
        <f>+E32+E46</f>
        <v>1425126.0000000002</v>
      </c>
      <c r="F47" s="273">
        <f>+F32+F46</f>
        <v>885651.14288959606</v>
      </c>
      <c r="G47" s="273">
        <f>+G32+G46</f>
        <v>898952.87037431449</v>
      </c>
      <c r="H47" s="273">
        <f>+H32+H46</f>
        <v>914564.66453221254</v>
      </c>
      <c r="I47" s="273">
        <f>+I32+I46</f>
        <v>932531.60935164453</v>
      </c>
      <c r="J47" s="273">
        <f>+J32+J46</f>
        <v>961961.46496587503</v>
      </c>
      <c r="K47" s="273">
        <f>+K32+K46</f>
        <v>1003240.2332174035</v>
      </c>
      <c r="L47" s="273">
        <f>+L32+L46</f>
        <v>1024251.1262574322</v>
      </c>
      <c r="M47" s="273">
        <f>+M32+M46</f>
        <v>1047806.6718989748</v>
      </c>
      <c r="N47" s="273">
        <f>+N32+N46</f>
        <v>1071597.7729969327</v>
      </c>
      <c r="O47" s="273">
        <f>+O32+O46</f>
        <v>1090820.9826840828</v>
      </c>
      <c r="P47" s="273">
        <f>+P32+P46</f>
        <v>11256504.539168473</v>
      </c>
      <c r="Q47" s="273">
        <f>+Q32+Q46</f>
        <v>11481634.629951846</v>
      </c>
      <c r="R47" s="273">
        <f>+R32+R46</f>
        <v>11428840.470304251</v>
      </c>
    </row>
    <row r="48" spans="2:18" x14ac:dyDescent="0.25">
      <c r="B48" s="104"/>
      <c r="C48" s="104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04"/>
      <c r="Q48" s="104"/>
      <c r="R48" s="104"/>
    </row>
    <row r="49" spans="2:18" x14ac:dyDescent="0.25">
      <c r="B49" s="104"/>
      <c r="C49" s="104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04"/>
      <c r="Q49" s="104"/>
      <c r="R49" s="104"/>
    </row>
    <row r="50" spans="2:18" x14ac:dyDescent="0.25">
      <c r="B50" s="104" t="s">
        <v>316</v>
      </c>
      <c r="C50" s="104"/>
      <c r="D50" s="252">
        <v>0.01</v>
      </c>
      <c r="E50" s="252">
        <v>0.01</v>
      </c>
      <c r="F50" s="252">
        <v>0.01</v>
      </c>
      <c r="G50" s="252">
        <v>0.01</v>
      </c>
      <c r="H50" s="252">
        <v>0.01</v>
      </c>
      <c r="I50" s="252">
        <v>0.01</v>
      </c>
      <c r="J50" s="252">
        <v>0.01</v>
      </c>
      <c r="K50" s="252">
        <v>0.01</v>
      </c>
      <c r="L50" s="252">
        <v>0.01</v>
      </c>
      <c r="M50" s="252">
        <v>0.01</v>
      </c>
      <c r="N50" s="252">
        <v>0.01</v>
      </c>
      <c r="O50" s="252">
        <v>0.01</v>
      </c>
      <c r="P50" s="252"/>
      <c r="Q50" s="104"/>
      <c r="R50" s="104"/>
    </row>
    <row r="51" spans="2:18" x14ac:dyDescent="0.25">
      <c r="B51" s="264" t="s">
        <v>317</v>
      </c>
      <c r="C51" s="265"/>
      <c r="D51" s="275">
        <v>0.1</v>
      </c>
      <c r="E51" s="275">
        <v>0.25</v>
      </c>
      <c r="F51" s="275">
        <v>0.1</v>
      </c>
      <c r="G51" s="275">
        <v>0.1</v>
      </c>
      <c r="H51" s="275">
        <v>0.1</v>
      </c>
      <c r="I51" s="275">
        <v>0.1</v>
      </c>
      <c r="J51" s="275">
        <v>0.1</v>
      </c>
      <c r="K51" s="275">
        <v>0.15</v>
      </c>
      <c r="L51" s="275">
        <v>0.15</v>
      </c>
      <c r="M51" s="275">
        <v>0.15</v>
      </c>
      <c r="N51" s="275">
        <v>0.15</v>
      </c>
      <c r="O51" s="275">
        <v>0.15</v>
      </c>
      <c r="P51" s="275"/>
      <c r="Q51" s="275"/>
      <c r="R51" s="275"/>
    </row>
    <row r="52" spans="2:18" x14ac:dyDescent="0.25"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</row>
    <row r="53" spans="2:18" x14ac:dyDescent="0.25">
      <c r="B53" s="259" t="s">
        <v>318</v>
      </c>
      <c r="C53" s="259"/>
      <c r="D53" s="267">
        <f t="shared" ref="D53:P53" si="34">+D47*D51*-1</f>
        <v>0</v>
      </c>
      <c r="E53" s="267">
        <f t="shared" si="34"/>
        <v>-356281.50000000006</v>
      </c>
      <c r="F53" s="267">
        <f>+F47*F51*-1</f>
        <v>-88565.114288959609</v>
      </c>
      <c r="G53" s="267">
        <f t="shared" si="34"/>
        <v>-89895.287037431452</v>
      </c>
      <c r="H53" s="267">
        <f t="shared" si="34"/>
        <v>-91456.466453221263</v>
      </c>
      <c r="I53" s="267">
        <f t="shared" si="34"/>
        <v>-93253.160935164458</v>
      </c>
      <c r="J53" s="267">
        <f t="shared" si="34"/>
        <v>-96196.146496587506</v>
      </c>
      <c r="K53" s="267">
        <f t="shared" si="34"/>
        <v>-150486.03498261052</v>
      </c>
      <c r="L53" s="267">
        <f t="shared" si="34"/>
        <v>-153637.66893861481</v>
      </c>
      <c r="M53" s="267">
        <f t="shared" si="34"/>
        <v>-157171.00078484623</v>
      </c>
      <c r="N53" s="267">
        <f t="shared" si="34"/>
        <v>-160739.66594953989</v>
      </c>
      <c r="O53" s="267">
        <f t="shared" si="34"/>
        <v>-163623.14740261241</v>
      </c>
      <c r="P53" s="267">
        <f>SUM(D53:O53)</f>
        <v>-1601305.1932695885</v>
      </c>
      <c r="Q53" s="267">
        <f>+P53+(P53*$Q$9)</f>
        <v>-1633331.2971349803</v>
      </c>
      <c r="R53" s="267">
        <f t="shared" ref="R53" si="35">+Q53+(Q53*$Q$9)</f>
        <v>-1665997.9230776799</v>
      </c>
    </row>
    <row r="54" spans="2:18" x14ac:dyDescent="0.25"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</row>
    <row r="55" spans="2:18" x14ac:dyDescent="0.25">
      <c r="B55" s="276" t="s">
        <v>319</v>
      </c>
      <c r="C55" s="277"/>
      <c r="D55" s="273">
        <f>SUM(D52:D54)</f>
        <v>0</v>
      </c>
      <c r="E55" s="273">
        <f t="shared" ref="E55:R55" si="36">SUM(E52:E54)</f>
        <v>-356281.50000000006</v>
      </c>
      <c r="F55" s="273">
        <f t="shared" si="36"/>
        <v>-88565.114288959609</v>
      </c>
      <c r="G55" s="273">
        <f t="shared" si="36"/>
        <v>-89895.287037431452</v>
      </c>
      <c r="H55" s="273">
        <f t="shared" si="36"/>
        <v>-91456.466453221263</v>
      </c>
      <c r="I55" s="273">
        <f t="shared" si="36"/>
        <v>-93253.160935164458</v>
      </c>
      <c r="J55" s="273">
        <f t="shared" si="36"/>
        <v>-96196.146496587506</v>
      </c>
      <c r="K55" s="273">
        <f t="shared" si="36"/>
        <v>-150486.03498261052</v>
      </c>
      <c r="L55" s="273">
        <f t="shared" si="36"/>
        <v>-153637.66893861481</v>
      </c>
      <c r="M55" s="273">
        <f t="shared" si="36"/>
        <v>-157171.00078484623</v>
      </c>
      <c r="N55" s="273">
        <f t="shared" si="36"/>
        <v>-160739.66594953989</v>
      </c>
      <c r="O55" s="273">
        <f t="shared" si="36"/>
        <v>-163623.14740261241</v>
      </c>
      <c r="P55" s="273">
        <f t="shared" si="36"/>
        <v>-1601305.1932695885</v>
      </c>
      <c r="Q55" s="273">
        <f t="shared" si="36"/>
        <v>-1633331.2971349803</v>
      </c>
      <c r="R55" s="273">
        <f t="shared" si="36"/>
        <v>-1665997.9230776799</v>
      </c>
    </row>
    <row r="56" spans="2:18" x14ac:dyDescent="0.25">
      <c r="B56" s="271" t="s">
        <v>320</v>
      </c>
      <c r="C56" s="272"/>
      <c r="D56" s="273">
        <f t="shared" ref="D56:R56" si="37">+D47+D55</f>
        <v>0</v>
      </c>
      <c r="E56" s="273">
        <f t="shared" si="37"/>
        <v>1068844.5000000002</v>
      </c>
      <c r="F56" s="273">
        <f t="shared" si="37"/>
        <v>797086.0286006364</v>
      </c>
      <c r="G56" s="273">
        <f t="shared" si="37"/>
        <v>809057.58333688299</v>
      </c>
      <c r="H56" s="273">
        <f t="shared" si="37"/>
        <v>823108.19807899126</v>
      </c>
      <c r="I56" s="273">
        <f t="shared" si="37"/>
        <v>839278.4484164801</v>
      </c>
      <c r="J56" s="273">
        <f t="shared" si="37"/>
        <v>865765.31846928748</v>
      </c>
      <c r="K56" s="273">
        <f t="shared" si="37"/>
        <v>852754.19823479303</v>
      </c>
      <c r="L56" s="273">
        <f t="shared" si="37"/>
        <v>870613.45731881738</v>
      </c>
      <c r="M56" s="273">
        <f t="shared" si="37"/>
        <v>890635.67111412855</v>
      </c>
      <c r="N56" s="273">
        <f t="shared" si="37"/>
        <v>910858.10704739287</v>
      </c>
      <c r="O56" s="273">
        <f t="shared" si="37"/>
        <v>927197.83528147044</v>
      </c>
      <c r="P56" s="273">
        <f t="shared" si="37"/>
        <v>9655199.3458988853</v>
      </c>
      <c r="Q56" s="273">
        <f t="shared" si="37"/>
        <v>9848303.3328168653</v>
      </c>
      <c r="R56" s="273">
        <f t="shared" si="37"/>
        <v>9762842.5472265705</v>
      </c>
    </row>
    <row r="57" spans="2:18" x14ac:dyDescent="0.25"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</row>
    <row r="58" spans="2:18" x14ac:dyDescent="0.25">
      <c r="B58" s="259" t="s">
        <v>165</v>
      </c>
      <c r="C58" s="267">
        <f>-Inversión!B43</f>
        <v>-5348035.5999999996</v>
      </c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</row>
    <row r="59" spans="2:18" x14ac:dyDescent="0.25">
      <c r="B59" s="259" t="s">
        <v>321</v>
      </c>
      <c r="C59" s="267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67">
        <f>SUM(D59:O59)</f>
        <v>0</v>
      </c>
      <c r="Q59" s="259"/>
      <c r="R59" s="259"/>
    </row>
    <row r="60" spans="2:18" x14ac:dyDescent="0.25">
      <c r="B60" s="259" t="s">
        <v>322</v>
      </c>
      <c r="C60" s="267"/>
      <c r="D60" s="278">
        <f>-D53</f>
        <v>0</v>
      </c>
      <c r="E60" s="278">
        <f>-E53</f>
        <v>356281.50000000006</v>
      </c>
      <c r="F60" s="278">
        <f t="shared" ref="F60:O60" si="38">-F53</f>
        <v>88565.114288959609</v>
      </c>
      <c r="G60" s="278">
        <f t="shared" si="38"/>
        <v>89895.287037431452</v>
      </c>
      <c r="H60" s="278">
        <f t="shared" si="38"/>
        <v>91456.466453221263</v>
      </c>
      <c r="I60" s="278">
        <f t="shared" si="38"/>
        <v>93253.160935164458</v>
      </c>
      <c r="J60" s="278">
        <f t="shared" si="38"/>
        <v>96196.146496587506</v>
      </c>
      <c r="K60" s="278">
        <f t="shared" si="38"/>
        <v>150486.03498261052</v>
      </c>
      <c r="L60" s="278">
        <f t="shared" si="38"/>
        <v>153637.66893861481</v>
      </c>
      <c r="M60" s="278">
        <f t="shared" si="38"/>
        <v>157171.00078484623</v>
      </c>
      <c r="N60" s="278">
        <f t="shared" si="38"/>
        <v>160739.66594953989</v>
      </c>
      <c r="O60" s="278">
        <f t="shared" si="38"/>
        <v>163623.14740261241</v>
      </c>
      <c r="P60" s="267">
        <f>SUM(D60:O60)</f>
        <v>1601305.1932695885</v>
      </c>
      <c r="Q60" s="267">
        <f t="shared" ref="Q60:R61" si="39">+P60+(P60*$Q$9)</f>
        <v>1633331.2971349803</v>
      </c>
      <c r="R60" s="267">
        <f t="shared" si="39"/>
        <v>1665997.9230776799</v>
      </c>
    </row>
    <row r="61" spans="2:18" x14ac:dyDescent="0.25">
      <c r="B61" s="259" t="s">
        <v>323</v>
      </c>
      <c r="C61" s="259"/>
      <c r="D61" s="278">
        <f>(D50*D60)</f>
        <v>0</v>
      </c>
      <c r="E61" s="278">
        <f>(E50*E60)</f>
        <v>3562.8150000000005</v>
      </c>
      <c r="F61" s="278">
        <f t="shared" ref="F61:O61" si="40">(F50*F60)</f>
        <v>885.65114288959614</v>
      </c>
      <c r="G61" s="278">
        <f t="shared" si="40"/>
        <v>898.95287037431456</v>
      </c>
      <c r="H61" s="278">
        <f t="shared" si="40"/>
        <v>914.56466453221265</v>
      </c>
      <c r="I61" s="278">
        <f t="shared" si="40"/>
        <v>932.53160935164465</v>
      </c>
      <c r="J61" s="278">
        <f t="shared" si="40"/>
        <v>961.96146496587505</v>
      </c>
      <c r="K61" s="278">
        <f t="shared" si="40"/>
        <v>1504.8603498261052</v>
      </c>
      <c r="L61" s="278">
        <f t="shared" si="40"/>
        <v>1536.3766893861482</v>
      </c>
      <c r="M61" s="278">
        <f t="shared" si="40"/>
        <v>1571.7100078484623</v>
      </c>
      <c r="N61" s="278">
        <f t="shared" si="40"/>
        <v>1607.396659495399</v>
      </c>
      <c r="O61" s="278">
        <f t="shared" si="40"/>
        <v>1636.231474026124</v>
      </c>
      <c r="P61" s="267">
        <f>SUM(D61:O61)</f>
        <v>16013.051932695882</v>
      </c>
      <c r="Q61" s="267">
        <f t="shared" si="39"/>
        <v>16333.3129713498</v>
      </c>
      <c r="R61" s="267">
        <f t="shared" si="39"/>
        <v>16659.979230776797</v>
      </c>
    </row>
    <row r="62" spans="2:18" x14ac:dyDescent="0.25"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67"/>
      <c r="Q62" s="259"/>
      <c r="R62" s="259"/>
    </row>
    <row r="63" spans="2:18" x14ac:dyDescent="0.25"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</row>
    <row r="64" spans="2:18" x14ac:dyDescent="0.25">
      <c r="B64" s="271" t="s">
        <v>320</v>
      </c>
      <c r="C64" s="273">
        <f>SUM(C58:C63)</f>
        <v>-5348035.5999999996</v>
      </c>
      <c r="D64" s="273">
        <f t="shared" ref="D64" si="41">SUM(D56:D63)</f>
        <v>0</v>
      </c>
      <c r="E64" s="273">
        <f>SUM(E56:E63)</f>
        <v>1428688.8150000002</v>
      </c>
      <c r="F64" s="273">
        <f t="shared" ref="F64:R64" si="42">SUM(F56:F63)</f>
        <v>886536.79403248569</v>
      </c>
      <c r="G64" s="273">
        <f t="shared" si="42"/>
        <v>899851.8232446888</v>
      </c>
      <c r="H64" s="273">
        <f t="shared" si="42"/>
        <v>915479.22919674474</v>
      </c>
      <c r="I64" s="273">
        <f t="shared" si="42"/>
        <v>933464.14096099616</v>
      </c>
      <c r="J64" s="273">
        <f t="shared" si="42"/>
        <v>962923.42643084086</v>
      </c>
      <c r="K64" s="273">
        <f t="shared" si="42"/>
        <v>1004745.0935672296</v>
      </c>
      <c r="L64" s="273">
        <f t="shared" si="42"/>
        <v>1025787.5029468184</v>
      </c>
      <c r="M64" s="273">
        <f t="shared" si="42"/>
        <v>1049378.3819068233</v>
      </c>
      <c r="N64" s="273">
        <f t="shared" si="42"/>
        <v>1073205.169656428</v>
      </c>
      <c r="O64" s="273">
        <f t="shared" si="42"/>
        <v>1092457.2141581089</v>
      </c>
      <c r="P64" s="273">
        <f>SUM(P56:P63)</f>
        <v>11272517.59110117</v>
      </c>
      <c r="Q64" s="273">
        <f t="shared" si="42"/>
        <v>11497967.942923196</v>
      </c>
      <c r="R64" s="273">
        <f t="shared" si="42"/>
        <v>11445500.449535027</v>
      </c>
    </row>
    <row r="65" spans="2:18" x14ac:dyDescent="0.25">
      <c r="B65" s="271" t="s">
        <v>324</v>
      </c>
      <c r="C65" s="267"/>
      <c r="D65" s="267">
        <f>+C64</f>
        <v>-5348035.5999999996</v>
      </c>
      <c r="E65" s="267">
        <f t="shared" ref="E65:O65" si="43">+D65+E64</f>
        <v>-3919346.7849999992</v>
      </c>
      <c r="F65" s="267">
        <f t="shared" si="43"/>
        <v>-3032809.9909675135</v>
      </c>
      <c r="G65" s="267">
        <f t="shared" si="43"/>
        <v>-2132958.167722825</v>
      </c>
      <c r="H65" s="267">
        <f>+G65+H64</f>
        <v>-1217478.9385260802</v>
      </c>
      <c r="I65" s="267">
        <f t="shared" si="43"/>
        <v>-284014.79756508407</v>
      </c>
      <c r="J65" s="267">
        <f t="shared" si="43"/>
        <v>678908.62886575679</v>
      </c>
      <c r="K65" s="267">
        <f t="shared" si="43"/>
        <v>1683653.7224329864</v>
      </c>
      <c r="L65" s="267">
        <f t="shared" si="43"/>
        <v>2709441.2253798046</v>
      </c>
      <c r="M65" s="267">
        <f t="shared" si="43"/>
        <v>3758819.6072866279</v>
      </c>
      <c r="N65" s="267">
        <f t="shared" si="43"/>
        <v>4832024.7769430559</v>
      </c>
      <c r="O65" s="267">
        <f t="shared" si="43"/>
        <v>5924481.9911011644</v>
      </c>
      <c r="P65" s="267">
        <f>+P64</f>
        <v>11272517.59110117</v>
      </c>
      <c r="Q65" s="267">
        <f>+Q64</f>
        <v>11497967.942923196</v>
      </c>
      <c r="R65" s="267">
        <f>+R64</f>
        <v>11445500.449535027</v>
      </c>
    </row>
    <row r="66" spans="2:18" x14ac:dyDescent="0.25">
      <c r="B66" s="104"/>
      <c r="C66" s="104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04"/>
      <c r="Q66" s="104"/>
      <c r="R66" s="104"/>
    </row>
    <row r="67" spans="2:18" x14ac:dyDescent="0.25">
      <c r="B67" s="104"/>
      <c r="C67" s="104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04"/>
      <c r="Q67" s="104"/>
      <c r="R67" s="104"/>
    </row>
    <row r="68" spans="2:18" x14ac:dyDescent="0.25">
      <c r="B68" s="284" t="s">
        <v>325</v>
      </c>
      <c r="C68" s="285">
        <v>0.1</v>
      </c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04"/>
      <c r="Q68" s="104"/>
      <c r="R68" s="104"/>
    </row>
    <row r="69" spans="2:18" x14ac:dyDescent="0.25">
      <c r="B69" s="127" t="s">
        <v>326</v>
      </c>
      <c r="C69" s="286">
        <f>+NPV(C68,C64:O64)</f>
        <v>668586.38879739086</v>
      </c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04"/>
      <c r="Q69" s="104"/>
      <c r="R69" s="104"/>
    </row>
    <row r="70" spans="2:18" x14ac:dyDescent="0.25">
      <c r="B70" s="127"/>
      <c r="C70" s="286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04"/>
      <c r="Q70" s="104"/>
      <c r="R70" s="104"/>
    </row>
    <row r="71" spans="2:18" x14ac:dyDescent="0.25">
      <c r="B71" s="127" t="s">
        <v>327</v>
      </c>
      <c r="C71" s="287">
        <f>+IRR(C64:O64,C68)</f>
        <v>0.12447196558982698</v>
      </c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04"/>
      <c r="Q71" s="104"/>
      <c r="R71" s="104"/>
    </row>
    <row r="72" spans="2:18" x14ac:dyDescent="0.25">
      <c r="B72" s="246" t="s">
        <v>326</v>
      </c>
      <c r="C72" s="288">
        <f>+NPV(C71,C64:O64)</f>
        <v>1.0352887878878394E-8</v>
      </c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04"/>
      <c r="Q72" s="104"/>
      <c r="R72" s="104"/>
    </row>
    <row r="73" spans="2:18" x14ac:dyDescent="0.25">
      <c r="B73" s="104"/>
      <c r="C73" s="104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04"/>
      <c r="Q73" s="104"/>
      <c r="R73" s="104"/>
    </row>
    <row r="74" spans="2:18" x14ac:dyDescent="0.25">
      <c r="B74" s="141" t="s">
        <v>328</v>
      </c>
      <c r="C74" s="104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04"/>
      <c r="Q74" s="104"/>
      <c r="R74" s="104"/>
    </row>
    <row r="75" spans="2:18" x14ac:dyDescent="0.25">
      <c r="B75" s="141"/>
      <c r="C75" s="104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4"/>
      <c r="Q75" s="104"/>
      <c r="R75" s="104"/>
    </row>
    <row r="76" spans="2:18" x14ac:dyDescent="0.25">
      <c r="B76" s="104" t="s">
        <v>329</v>
      </c>
      <c r="C76" s="137">
        <f>-C64</f>
        <v>5348035.5999999996</v>
      </c>
      <c r="D76" s="279">
        <f>+C76/C77</f>
        <v>0.47443133770062895</v>
      </c>
      <c r="E76" s="244" t="s">
        <v>330</v>
      </c>
      <c r="F76" s="211"/>
      <c r="G76" s="137"/>
      <c r="H76" s="137"/>
      <c r="I76" s="137"/>
      <c r="J76" s="137"/>
      <c r="K76" s="137"/>
      <c r="L76" s="137"/>
      <c r="M76" s="137"/>
      <c r="N76" s="137"/>
      <c r="O76" s="137"/>
      <c r="P76" s="104"/>
      <c r="Q76" s="104"/>
      <c r="R76" s="104"/>
    </row>
    <row r="77" spans="2:18" x14ac:dyDescent="0.25">
      <c r="B77" s="222" t="s">
        <v>331</v>
      </c>
      <c r="C77" s="280">
        <f>+P64</f>
        <v>11272517.59110117</v>
      </c>
      <c r="D77" s="253"/>
      <c r="E77" s="137"/>
      <c r="F77" s="211"/>
      <c r="G77" s="137"/>
      <c r="H77" s="211"/>
      <c r="I77" s="137"/>
      <c r="J77" s="137"/>
      <c r="K77" s="137"/>
      <c r="L77" s="137"/>
      <c r="M77" s="137"/>
      <c r="N77" s="137"/>
      <c r="O77" s="137"/>
      <c r="P77" s="104"/>
      <c r="Q77" s="104"/>
      <c r="R77" s="104"/>
    </row>
    <row r="78" spans="2:18" x14ac:dyDescent="0.25">
      <c r="B78" s="104"/>
      <c r="C78" s="104"/>
      <c r="D78" s="104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04"/>
      <c r="Q78" s="104"/>
      <c r="R78" s="104"/>
    </row>
    <row r="79" spans="2:18" x14ac:dyDescent="0.25">
      <c r="B79" s="104" t="s">
        <v>15</v>
      </c>
      <c r="C79" s="137">
        <v>365</v>
      </c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04"/>
      <c r="Q79" s="104"/>
      <c r="R79" s="104"/>
    </row>
    <row r="80" spans="2:18" x14ac:dyDescent="0.25">
      <c r="B80" s="104" t="s">
        <v>348</v>
      </c>
      <c r="C80" s="244">
        <f>+C79*D76</f>
        <v>173.16743826072957</v>
      </c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04"/>
      <c r="Q80" s="104"/>
      <c r="R80" s="104"/>
    </row>
    <row r="81" spans="2:18" x14ac:dyDescent="0.25">
      <c r="B81" s="104" t="s">
        <v>259</v>
      </c>
      <c r="C81" s="137">
        <v>30</v>
      </c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04"/>
      <c r="Q81" s="104"/>
      <c r="R81" s="104"/>
    </row>
    <row r="82" spans="2:18" x14ac:dyDescent="0.25">
      <c r="B82" s="104" t="s">
        <v>332</v>
      </c>
      <c r="C82" s="281">
        <f>+C80/C81</f>
        <v>5.7722479420243191</v>
      </c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04"/>
      <c r="Q82" s="104"/>
      <c r="R82" s="104"/>
    </row>
    <row r="83" spans="2:18" x14ac:dyDescent="0.25">
      <c r="J83" s="267"/>
    </row>
  </sheetData>
  <mergeCells count="3">
    <mergeCell ref="B6:R6"/>
    <mergeCell ref="D7:O7"/>
    <mergeCell ref="P8:R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02A4-3E3E-485D-A128-9E79486670CB}">
  <dimension ref="B6:R85"/>
  <sheetViews>
    <sheetView showGridLines="0" tabSelected="1" zoomScale="80" zoomScaleNormal="80" workbookViewId="0">
      <pane ySplit="11" topLeftCell="A49" activePane="bottomLeft" state="frozen"/>
      <selection pane="bottomLeft" activeCell="E49" sqref="E49"/>
    </sheetView>
  </sheetViews>
  <sheetFormatPr baseColWidth="10" defaultRowHeight="15" x14ac:dyDescent="0.25"/>
  <cols>
    <col min="2" max="2" width="30.5703125" bestFit="1" customWidth="1"/>
    <col min="4" max="4" width="13.5703125" bestFit="1" customWidth="1"/>
    <col min="10" max="10" width="11.42578125" bestFit="1" customWidth="1"/>
    <col min="16" max="16" width="13" bestFit="1" customWidth="1"/>
    <col min="17" max="18" width="12.5703125" bestFit="1" customWidth="1"/>
  </cols>
  <sheetData>
    <row r="6" spans="2:18" ht="20.25" x14ac:dyDescent="0.3">
      <c r="B6" s="306" t="s">
        <v>347</v>
      </c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</row>
    <row r="7" spans="2:18" ht="20.25" x14ac:dyDescent="0.3">
      <c r="B7" s="257"/>
      <c r="C7" s="257"/>
      <c r="D7" s="307" t="s">
        <v>305</v>
      </c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256"/>
      <c r="Q7" s="257"/>
      <c r="R7" s="257"/>
    </row>
    <row r="8" spans="2:18" x14ac:dyDescent="0.25">
      <c r="B8" s="258"/>
      <c r="C8" s="259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308" t="s">
        <v>306</v>
      </c>
      <c r="Q8" s="308"/>
      <c r="R8" s="308"/>
    </row>
    <row r="9" spans="2:18" x14ac:dyDescent="0.25">
      <c r="B9" s="258"/>
      <c r="C9" s="258" t="s">
        <v>353</v>
      </c>
      <c r="D9" s="311">
        <v>0.19</v>
      </c>
      <c r="E9" s="311">
        <v>0.19</v>
      </c>
      <c r="F9" s="311">
        <v>0.19</v>
      </c>
      <c r="G9" s="311">
        <v>0.19</v>
      </c>
      <c r="H9" s="311">
        <v>0.19</v>
      </c>
      <c r="I9" s="311">
        <v>0.19</v>
      </c>
      <c r="J9" s="311">
        <v>0.19</v>
      </c>
      <c r="K9" s="311">
        <v>0.19</v>
      </c>
      <c r="L9" s="311">
        <v>0.19</v>
      </c>
      <c r="M9" s="311">
        <v>0.19</v>
      </c>
      <c r="N9" s="311">
        <v>0.19</v>
      </c>
      <c r="O9" s="311">
        <v>0.19</v>
      </c>
      <c r="P9" s="261" t="s">
        <v>307</v>
      </c>
      <c r="Q9" s="263">
        <v>0.02</v>
      </c>
      <c r="R9" s="263">
        <v>0.01</v>
      </c>
    </row>
    <row r="10" spans="2:18" x14ac:dyDescent="0.25">
      <c r="B10" s="258"/>
      <c r="C10" s="259"/>
      <c r="D10" s="311"/>
      <c r="E10" s="311"/>
      <c r="F10" s="311">
        <v>5.0000000000000001E-3</v>
      </c>
      <c r="G10" s="311">
        <f>+F10+0.1%</f>
        <v>6.0000000000000001E-3</v>
      </c>
      <c r="H10" s="311">
        <f>+G10+0.1%</f>
        <v>7.0000000000000001E-3</v>
      </c>
      <c r="I10" s="311">
        <f t="shared" ref="I10:O10" si="0">+H10+0.1%</f>
        <v>8.0000000000000002E-3</v>
      </c>
      <c r="J10" s="311">
        <f>+I10+0.5%</f>
        <v>1.3000000000000001E-2</v>
      </c>
      <c r="K10" s="311">
        <f>+J10+0.5%</f>
        <v>1.8000000000000002E-2</v>
      </c>
      <c r="L10" s="311">
        <f>+I10+0.1%</f>
        <v>9.0000000000000011E-3</v>
      </c>
      <c r="M10" s="311">
        <f t="shared" si="0"/>
        <v>1.0000000000000002E-2</v>
      </c>
      <c r="N10" s="311">
        <f>+M10</f>
        <v>1.0000000000000002E-2</v>
      </c>
      <c r="O10" s="311">
        <f>+I10</f>
        <v>8.0000000000000002E-3</v>
      </c>
      <c r="P10" s="261">
        <v>2024</v>
      </c>
      <c r="Q10" s="261">
        <v>2025</v>
      </c>
      <c r="R10" s="261">
        <v>2026</v>
      </c>
    </row>
    <row r="11" spans="2:18" x14ac:dyDescent="0.25">
      <c r="B11" s="264" t="s">
        <v>308</v>
      </c>
      <c r="C11" s="265">
        <v>0</v>
      </c>
      <c r="D11" s="266">
        <v>1</v>
      </c>
      <c r="E11" s="266">
        <v>2</v>
      </c>
      <c r="F11" s="266">
        <v>3</v>
      </c>
      <c r="G11" s="266">
        <v>4</v>
      </c>
      <c r="H11" s="266">
        <v>5</v>
      </c>
      <c r="I11" s="266">
        <v>6</v>
      </c>
      <c r="J11" s="266">
        <v>7</v>
      </c>
      <c r="K11" s="266">
        <v>8</v>
      </c>
      <c r="L11" s="266">
        <v>9</v>
      </c>
      <c r="M11" s="266">
        <v>10</v>
      </c>
      <c r="N11" s="266">
        <v>11</v>
      </c>
      <c r="O11" s="266">
        <v>12</v>
      </c>
      <c r="P11" s="266" t="s">
        <v>309</v>
      </c>
      <c r="Q11" s="266" t="s">
        <v>310</v>
      </c>
      <c r="R11" s="266" t="s">
        <v>311</v>
      </c>
    </row>
    <row r="12" spans="2:18" x14ac:dyDescent="0.25">
      <c r="B12" s="259" t="s">
        <v>333</v>
      </c>
      <c r="C12" s="259"/>
      <c r="D12" s="267">
        <f>+PE!B56</f>
        <v>389.42484158246106</v>
      </c>
      <c r="E12" s="267">
        <f>+PE!F43</f>
        <v>1257.0316088755992</v>
      </c>
      <c r="F12" s="267">
        <f t="shared" ref="F12:N12" si="1">+E12+(E12*F10)</f>
        <v>1263.3167669199772</v>
      </c>
      <c r="G12" s="267">
        <f t="shared" si="1"/>
        <v>1270.8966675214972</v>
      </c>
      <c r="H12" s="267">
        <f t="shared" si="1"/>
        <v>1279.7929441941476</v>
      </c>
      <c r="I12" s="267">
        <f t="shared" si="1"/>
        <v>1290.0312877477008</v>
      </c>
      <c r="J12" s="267">
        <f t="shared" si="1"/>
        <v>1306.8016944884209</v>
      </c>
      <c r="K12" s="267">
        <f t="shared" si="1"/>
        <v>1330.3241249892126</v>
      </c>
      <c r="L12" s="267">
        <f t="shared" si="1"/>
        <v>1342.2970421141156</v>
      </c>
      <c r="M12" s="267">
        <f t="shared" si="1"/>
        <v>1355.7200125352567</v>
      </c>
      <c r="N12" s="267">
        <f t="shared" si="1"/>
        <v>1369.2772126606094</v>
      </c>
      <c r="O12" s="267">
        <f>+N12+(N12*O10)</f>
        <v>1380.2314303618944</v>
      </c>
      <c r="P12" s="267">
        <f>SUM(D12:O12)</f>
        <v>14835.145633990895</v>
      </c>
      <c r="Q12" s="267">
        <f t="shared" ref="Q12:Q15" si="2">+P12+(P12*$Q$9)</f>
        <v>15131.848546670712</v>
      </c>
      <c r="R12" s="267">
        <f>+Q12+(Q12*$R$9)</f>
        <v>15283.167032137419</v>
      </c>
    </row>
    <row r="13" spans="2:18" x14ac:dyDescent="0.25">
      <c r="B13" s="259" t="s">
        <v>334</v>
      </c>
      <c r="C13" s="259"/>
      <c r="D13" s="267">
        <f>+PE!B12+(PE!B12*D9)</f>
        <v>3272.5</v>
      </c>
      <c r="E13" s="267">
        <f>+D13</f>
        <v>3272.5</v>
      </c>
      <c r="F13" s="267">
        <f t="shared" ref="F13:O15" si="3">+E13</f>
        <v>3272.5</v>
      </c>
      <c r="G13" s="267">
        <f t="shared" si="3"/>
        <v>3272.5</v>
      </c>
      <c r="H13" s="267">
        <f t="shared" si="3"/>
        <v>3272.5</v>
      </c>
      <c r="I13" s="267">
        <f t="shared" si="3"/>
        <v>3272.5</v>
      </c>
      <c r="J13" s="267">
        <f t="shared" si="3"/>
        <v>3272.5</v>
      </c>
      <c r="K13" s="267">
        <f t="shared" si="3"/>
        <v>3272.5</v>
      </c>
      <c r="L13" s="267">
        <f t="shared" si="3"/>
        <v>3272.5</v>
      </c>
      <c r="M13" s="267">
        <f t="shared" si="3"/>
        <v>3272.5</v>
      </c>
      <c r="N13" s="267">
        <f t="shared" si="3"/>
        <v>3272.5</v>
      </c>
      <c r="O13" s="267">
        <f t="shared" si="3"/>
        <v>3272.5</v>
      </c>
      <c r="P13" s="267">
        <f>SUM(D13:O13)</f>
        <v>39270</v>
      </c>
      <c r="Q13" s="267">
        <f t="shared" si="2"/>
        <v>40055.4</v>
      </c>
      <c r="R13" s="267">
        <f>+Q13+(Q13*$R$9)</f>
        <v>40455.953999999998</v>
      </c>
    </row>
    <row r="14" spans="2:18" x14ac:dyDescent="0.25">
      <c r="B14" s="259" t="s">
        <v>336</v>
      </c>
      <c r="C14" s="259"/>
      <c r="D14" s="267">
        <f>(-'Costo Prod 1'!D19-'Costo Prod 1'!D21)/2</f>
        <v>-142.8125</v>
      </c>
      <c r="E14" s="267">
        <f>+D14</f>
        <v>-142.8125</v>
      </c>
      <c r="F14" s="267">
        <f t="shared" si="3"/>
        <v>-142.8125</v>
      </c>
      <c r="G14" s="267">
        <f t="shared" si="3"/>
        <v>-142.8125</v>
      </c>
      <c r="H14" s="267">
        <f t="shared" si="3"/>
        <v>-142.8125</v>
      </c>
      <c r="I14" s="267">
        <f t="shared" si="3"/>
        <v>-142.8125</v>
      </c>
      <c r="J14" s="267">
        <f t="shared" si="3"/>
        <v>-142.8125</v>
      </c>
      <c r="K14" s="267">
        <f t="shared" si="3"/>
        <v>-142.8125</v>
      </c>
      <c r="L14" s="267">
        <f t="shared" si="3"/>
        <v>-142.8125</v>
      </c>
      <c r="M14" s="267">
        <f t="shared" si="3"/>
        <v>-142.8125</v>
      </c>
      <c r="N14" s="267">
        <f t="shared" si="3"/>
        <v>-142.8125</v>
      </c>
      <c r="O14" s="267">
        <f t="shared" si="3"/>
        <v>-142.8125</v>
      </c>
      <c r="P14" s="267">
        <f>SUM(D14:O14)</f>
        <v>-1713.75</v>
      </c>
      <c r="Q14" s="267">
        <f t="shared" si="2"/>
        <v>-1748.0250000000001</v>
      </c>
      <c r="R14" s="267">
        <f t="shared" ref="R14:R15" si="4">+Q14+(Q14*$R$9)</f>
        <v>-1765.5052500000002</v>
      </c>
    </row>
    <row r="15" spans="2:18" x14ac:dyDescent="0.25">
      <c r="B15" s="259" t="s">
        <v>335</v>
      </c>
      <c r="C15" s="259"/>
      <c r="D15" s="267">
        <f>(-'Costo Prod 2'!D19-'Costo Prod 2'!D21)/2</f>
        <v>-242.8125</v>
      </c>
      <c r="E15" s="267">
        <f>+D15</f>
        <v>-242.8125</v>
      </c>
      <c r="F15" s="267">
        <f t="shared" si="3"/>
        <v>-242.8125</v>
      </c>
      <c r="G15" s="267">
        <f t="shared" si="3"/>
        <v>-242.8125</v>
      </c>
      <c r="H15" s="267">
        <f t="shared" si="3"/>
        <v>-242.8125</v>
      </c>
      <c r="I15" s="267">
        <f t="shared" si="3"/>
        <v>-242.8125</v>
      </c>
      <c r="J15" s="267">
        <f t="shared" si="3"/>
        <v>-242.8125</v>
      </c>
      <c r="K15" s="267">
        <f t="shared" si="3"/>
        <v>-242.8125</v>
      </c>
      <c r="L15" s="267">
        <f t="shared" si="3"/>
        <v>-242.8125</v>
      </c>
      <c r="M15" s="267">
        <f t="shared" si="3"/>
        <v>-242.8125</v>
      </c>
      <c r="N15" s="267">
        <f t="shared" si="3"/>
        <v>-242.8125</v>
      </c>
      <c r="O15" s="267">
        <f t="shared" si="3"/>
        <v>-242.8125</v>
      </c>
      <c r="P15" s="267">
        <f>SUM(D15:O15)</f>
        <v>-2913.75</v>
      </c>
      <c r="Q15" s="267">
        <f t="shared" si="2"/>
        <v>-2972.0250000000001</v>
      </c>
      <c r="R15" s="267">
        <f t="shared" si="4"/>
        <v>-3001.7452499999999</v>
      </c>
    </row>
    <row r="16" spans="2:18" x14ac:dyDescent="0.25">
      <c r="B16" s="259"/>
      <c r="C16" s="259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</row>
    <row r="17" spans="2:18" x14ac:dyDescent="0.25">
      <c r="B17" s="259" t="s">
        <v>349</v>
      </c>
      <c r="C17" s="259"/>
      <c r="D17" s="267">
        <f>-'Costo Prod 1'!D20</f>
        <v>-507.56299999999999</v>
      </c>
      <c r="E17" s="267">
        <f>+D17</f>
        <v>-507.56299999999999</v>
      </c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</row>
    <row r="18" spans="2:18" x14ac:dyDescent="0.25">
      <c r="B18" s="259"/>
      <c r="C18" s="259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</row>
    <row r="19" spans="2:18" x14ac:dyDescent="0.25">
      <c r="B19" s="259"/>
      <c r="C19" s="259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</row>
    <row r="20" spans="2:18" x14ac:dyDescent="0.25">
      <c r="B20" s="268"/>
      <c r="C20" s="269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</row>
    <row r="21" spans="2:18" x14ac:dyDescent="0.25">
      <c r="B21" s="259" t="s">
        <v>337</v>
      </c>
      <c r="C21" s="259"/>
      <c r="D21" s="267">
        <f>+D13*D12</f>
        <v>1274392.7940786039</v>
      </c>
      <c r="E21" s="267">
        <f t="shared" ref="E21:P21" si="5">+E13*E12</f>
        <v>4113635.9400453982</v>
      </c>
      <c r="F21" s="267">
        <f t="shared" si="5"/>
        <v>4134204.1197456256</v>
      </c>
      <c r="G21" s="267">
        <f t="shared" si="5"/>
        <v>4159009.3444640995</v>
      </c>
      <c r="H21" s="267">
        <f t="shared" si="5"/>
        <v>4188122.4098753482</v>
      </c>
      <c r="I21" s="267">
        <f t="shared" si="5"/>
        <v>4221627.3891543513</v>
      </c>
      <c r="J21" s="267">
        <f t="shared" si="5"/>
        <v>4276508.5452133575</v>
      </c>
      <c r="K21" s="267">
        <f t="shared" si="5"/>
        <v>4353485.6990271984</v>
      </c>
      <c r="L21" s="267">
        <f t="shared" si="5"/>
        <v>4392667.0703184437</v>
      </c>
      <c r="M21" s="267">
        <f t="shared" si="5"/>
        <v>4436593.7410216276</v>
      </c>
      <c r="N21" s="267">
        <f t="shared" si="5"/>
        <v>4480959.6784318443</v>
      </c>
      <c r="O21" s="267">
        <f t="shared" si="5"/>
        <v>4516807.3558592992</v>
      </c>
      <c r="P21" s="267">
        <f>SUM(D21:O21)</f>
        <v>48548014.087235197</v>
      </c>
      <c r="Q21" s="267">
        <f>+P21+(P21*$Q$9)</f>
        <v>49518974.368979901</v>
      </c>
      <c r="R21" s="267">
        <f>+Q21+(Q21*$R$9)</f>
        <v>50014164.112669699</v>
      </c>
    </row>
    <row r="22" spans="2:18" x14ac:dyDescent="0.25">
      <c r="B22" s="259"/>
      <c r="C22" s="259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</row>
    <row r="23" spans="2:18" x14ac:dyDescent="0.25">
      <c r="B23" s="259"/>
      <c r="C23" s="259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</row>
    <row r="24" spans="2:18" x14ac:dyDescent="0.25">
      <c r="B24" s="271" t="s">
        <v>312</v>
      </c>
      <c r="C24" s="272"/>
      <c r="D24" s="273">
        <f>SUM(D21:D23)</f>
        <v>1274392.7940786039</v>
      </c>
      <c r="E24" s="273">
        <f t="shared" ref="E24:R24" si="6">SUM(E21:E23)</f>
        <v>4113635.9400453982</v>
      </c>
      <c r="F24" s="273">
        <f t="shared" si="6"/>
        <v>4134204.1197456256</v>
      </c>
      <c r="G24" s="273">
        <f t="shared" si="6"/>
        <v>4159009.3444640995</v>
      </c>
      <c r="H24" s="273">
        <f t="shared" si="6"/>
        <v>4188122.4098753482</v>
      </c>
      <c r="I24" s="273">
        <f t="shared" si="6"/>
        <v>4221627.3891543513</v>
      </c>
      <c r="J24" s="273">
        <f t="shared" si="6"/>
        <v>4276508.5452133575</v>
      </c>
      <c r="K24" s="273">
        <f t="shared" si="6"/>
        <v>4353485.6990271984</v>
      </c>
      <c r="L24" s="273">
        <f t="shared" si="6"/>
        <v>4392667.0703184437</v>
      </c>
      <c r="M24" s="273">
        <f t="shared" si="6"/>
        <v>4436593.7410216276</v>
      </c>
      <c r="N24" s="273">
        <f t="shared" si="6"/>
        <v>4480959.6784318443</v>
      </c>
      <c r="O24" s="273">
        <f t="shared" si="6"/>
        <v>4516807.3558592992</v>
      </c>
      <c r="P24" s="273">
        <f t="shared" si="6"/>
        <v>48548014.087235197</v>
      </c>
      <c r="Q24" s="273">
        <f t="shared" si="6"/>
        <v>49518974.368979901</v>
      </c>
      <c r="R24" s="273">
        <f t="shared" si="6"/>
        <v>50014164.112669699</v>
      </c>
    </row>
    <row r="25" spans="2:18" x14ac:dyDescent="0.25">
      <c r="B25" s="258"/>
      <c r="C25" s="259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</row>
    <row r="26" spans="2:18" x14ac:dyDescent="0.25">
      <c r="B26" s="259" t="s">
        <v>338</v>
      </c>
      <c r="C26" s="259"/>
      <c r="D26" s="267">
        <f>+(D14+D15)*D12</f>
        <v>-150171.95453523655</v>
      </c>
      <c r="E26" s="267">
        <f t="shared" ref="E26:O26" si="7">+(E14+E15)*E12</f>
        <v>-484742.81417265296</v>
      </c>
      <c r="F26" s="267">
        <f t="shared" si="7"/>
        <v>-487166.52824351622</v>
      </c>
      <c r="G26" s="267">
        <f t="shared" si="7"/>
        <v>-490089.52741297736</v>
      </c>
      <c r="H26" s="267">
        <f t="shared" si="7"/>
        <v>-493520.15410486818</v>
      </c>
      <c r="I26" s="267">
        <f t="shared" si="7"/>
        <v>-497468.31533770711</v>
      </c>
      <c r="J26" s="267">
        <f t="shared" si="7"/>
        <v>-503935.40343709732</v>
      </c>
      <c r="K26" s="267">
        <f t="shared" si="7"/>
        <v>-513006.24069896509</v>
      </c>
      <c r="L26" s="267">
        <f t="shared" si="7"/>
        <v>-517623.2968652558</v>
      </c>
      <c r="M26" s="267">
        <f t="shared" si="7"/>
        <v>-522799.52983390837</v>
      </c>
      <c r="N26" s="267">
        <f t="shared" si="7"/>
        <v>-528027.52513224748</v>
      </c>
      <c r="O26" s="267">
        <f t="shared" si="7"/>
        <v>-532251.74533330556</v>
      </c>
      <c r="P26" s="267">
        <f>SUM(D26:O26)</f>
        <v>-5720803.0351077374</v>
      </c>
      <c r="Q26" s="267">
        <f>+P26+(P26*$Q$9)</f>
        <v>-5835219.0958098918</v>
      </c>
      <c r="R26" s="267">
        <f>+Q26+(Q26*$R$9)</f>
        <v>-5893571.2867679903</v>
      </c>
    </row>
    <row r="27" spans="2:18" x14ac:dyDescent="0.25">
      <c r="B27" s="259" t="str">
        <f>+Inversión!A26</f>
        <v>Sueldo Barista</v>
      </c>
      <c r="C27" s="259"/>
      <c r="D27" s="267">
        <f>+(D17)*+$D$12</f>
        <v>-197657.64086811867</v>
      </c>
      <c r="E27" s="267">
        <f>+(E17)*+$E$12</f>
        <v>-638022.73449572572</v>
      </c>
      <c r="F27" s="267">
        <f>-Remus!M36</f>
        <v>-655126</v>
      </c>
      <c r="G27" s="267">
        <f t="shared" ref="G27:O27" si="8">+F27</f>
        <v>-655126</v>
      </c>
      <c r="H27" s="267">
        <f t="shared" si="8"/>
        <v>-655126</v>
      </c>
      <c r="I27" s="267">
        <f t="shared" si="8"/>
        <v>-655126</v>
      </c>
      <c r="J27" s="267">
        <f t="shared" si="8"/>
        <v>-655126</v>
      </c>
      <c r="K27" s="267">
        <f t="shared" si="8"/>
        <v>-655126</v>
      </c>
      <c r="L27" s="267">
        <f t="shared" si="8"/>
        <v>-655126</v>
      </c>
      <c r="M27" s="267">
        <f t="shared" si="8"/>
        <v>-655126</v>
      </c>
      <c r="N27" s="267">
        <f t="shared" si="8"/>
        <v>-655126</v>
      </c>
      <c r="O27" s="267">
        <f t="shared" si="8"/>
        <v>-655126</v>
      </c>
      <c r="P27" s="267">
        <f>SUM(D27:O27)</f>
        <v>-7386940.3753638444</v>
      </c>
      <c r="Q27" s="267">
        <f t="shared" ref="Q27" si="9">+P27+(P27*$Q$9)</f>
        <v>-7534679.182871121</v>
      </c>
      <c r="R27" s="267">
        <f t="shared" ref="R27" si="10">+Q27+(Q27*$R$9)</f>
        <v>-7610025.9746998325</v>
      </c>
    </row>
    <row r="28" spans="2:18" x14ac:dyDescent="0.25">
      <c r="B28" s="259"/>
      <c r="C28" s="259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</row>
    <row r="29" spans="2:18" x14ac:dyDescent="0.25">
      <c r="B29" s="259"/>
      <c r="C29" s="259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</row>
    <row r="30" spans="2:18" x14ac:dyDescent="0.25">
      <c r="B30" s="271" t="s">
        <v>339</v>
      </c>
      <c r="C30" s="272"/>
      <c r="D30" s="273">
        <f t="shared" ref="D30:R30" si="11">SUM(D26:D29)</f>
        <v>-347829.5954033552</v>
      </c>
      <c r="E30" s="273">
        <f t="shared" si="11"/>
        <v>-1122765.5486683787</v>
      </c>
      <c r="F30" s="273">
        <f t="shared" si="11"/>
        <v>-1142292.5282435161</v>
      </c>
      <c r="G30" s="273">
        <f t="shared" si="11"/>
        <v>-1145215.5274129773</v>
      </c>
      <c r="H30" s="273">
        <f t="shared" si="11"/>
        <v>-1148646.1541048682</v>
      </c>
      <c r="I30" s="273">
        <f t="shared" si="11"/>
        <v>-1152594.3153377071</v>
      </c>
      <c r="J30" s="273">
        <f t="shared" si="11"/>
        <v>-1159061.4034370973</v>
      </c>
      <c r="K30" s="273">
        <f t="shared" si="11"/>
        <v>-1168132.240698965</v>
      </c>
      <c r="L30" s="273">
        <f t="shared" si="11"/>
        <v>-1172749.2968652558</v>
      </c>
      <c r="M30" s="273">
        <f t="shared" si="11"/>
        <v>-1177925.5298339084</v>
      </c>
      <c r="N30" s="273">
        <f t="shared" si="11"/>
        <v>-1183153.5251322475</v>
      </c>
      <c r="O30" s="273">
        <f t="shared" si="11"/>
        <v>-1187377.7453333056</v>
      </c>
      <c r="P30" s="273">
        <f t="shared" si="11"/>
        <v>-13107743.410471581</v>
      </c>
      <c r="Q30" s="273">
        <f t="shared" si="11"/>
        <v>-13369898.278681014</v>
      </c>
      <c r="R30" s="273">
        <f t="shared" si="11"/>
        <v>-13503597.261467822</v>
      </c>
    </row>
    <row r="31" spans="2:18" x14ac:dyDescent="0.25">
      <c r="B31" s="259"/>
      <c r="C31" s="259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</row>
    <row r="32" spans="2:18" x14ac:dyDescent="0.25">
      <c r="B32" s="271" t="s">
        <v>340</v>
      </c>
      <c r="C32" s="272"/>
      <c r="D32" s="273">
        <f t="shared" ref="D32:R32" si="12">+D24+D30</f>
        <v>926563.19867524866</v>
      </c>
      <c r="E32" s="273">
        <f t="shared" si="12"/>
        <v>2990870.3913770197</v>
      </c>
      <c r="F32" s="273">
        <f t="shared" si="12"/>
        <v>2991911.5915021095</v>
      </c>
      <c r="G32" s="273">
        <f t="shared" si="12"/>
        <v>3013793.817051122</v>
      </c>
      <c r="H32" s="273">
        <f t="shared" si="12"/>
        <v>3039476.2557704803</v>
      </c>
      <c r="I32" s="273">
        <f t="shared" si="12"/>
        <v>3069033.073816644</v>
      </c>
      <c r="J32" s="273">
        <f t="shared" si="12"/>
        <v>3117447.14177626</v>
      </c>
      <c r="K32" s="273">
        <f t="shared" si="12"/>
        <v>3185353.4583282331</v>
      </c>
      <c r="L32" s="273">
        <f t="shared" si="12"/>
        <v>3219917.7734531881</v>
      </c>
      <c r="M32" s="273">
        <f t="shared" si="12"/>
        <v>3258668.2111877194</v>
      </c>
      <c r="N32" s="273">
        <f t="shared" si="12"/>
        <v>3297806.1532995971</v>
      </c>
      <c r="O32" s="273">
        <f t="shared" si="12"/>
        <v>3329429.6105259936</v>
      </c>
      <c r="P32" s="273">
        <f t="shared" si="12"/>
        <v>35440270.676763617</v>
      </c>
      <c r="Q32" s="273">
        <f t="shared" si="12"/>
        <v>36149076.090298891</v>
      </c>
      <c r="R32" s="273">
        <f t="shared" si="12"/>
        <v>36510566.851201877</v>
      </c>
    </row>
    <row r="33" spans="2:18" x14ac:dyDescent="0.25">
      <c r="B33" s="258"/>
      <c r="C33" s="259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</row>
    <row r="34" spans="2:18" x14ac:dyDescent="0.25">
      <c r="B34" s="264" t="s">
        <v>343</v>
      </c>
      <c r="C34" s="265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</row>
    <row r="35" spans="2:18" x14ac:dyDescent="0.25">
      <c r="B35" s="259" t="str">
        <f>+'Costos Consolidado'!B37</f>
        <v>Agua</v>
      </c>
      <c r="C35" s="259"/>
      <c r="D35" s="267">
        <f>+'Costos Consolidado'!H37+('Costos Consolidado'!H37*D9)</f>
        <v>-29750</v>
      </c>
      <c r="E35" s="267">
        <f>-('Gastos Fijos'!H21*'Cash Flow (2)'!$E$12)+('Costos Consolidado'!H37*E9)</f>
        <v>-36175.790221889984</v>
      </c>
      <c r="F35" s="267">
        <f>-'Gastos Fijos'!B21-('Gastos Fijos'!B21*$F$9)</f>
        <v>-59500</v>
      </c>
      <c r="G35" s="267">
        <f>+F35+(F35*$G$10)</f>
        <v>-59857</v>
      </c>
      <c r="H35" s="267">
        <f>+G35+(G35*$H$10)</f>
        <v>-60275.999000000003</v>
      </c>
      <c r="I35" s="267">
        <f>+H35+(H35*$I$10)</f>
        <v>-60758.206992000007</v>
      </c>
      <c r="J35" s="267">
        <f>+I35+(I35*$J$10)</f>
        <v>-61548.063682896005</v>
      </c>
      <c r="K35" s="267">
        <f>+J35+(J35*$K$10)</f>
        <v>-62655.928829188131</v>
      </c>
      <c r="L35" s="267">
        <f>+K35+(K35*$L$10)</f>
        <v>-63219.832188650827</v>
      </c>
      <c r="M35" s="267">
        <f>+L35+(L35*$M$10)</f>
        <v>-63852.030510537334</v>
      </c>
      <c r="N35" s="267">
        <f>+M35+(M35*$N$10)</f>
        <v>-64490.550815642709</v>
      </c>
      <c r="O35" s="267">
        <f>+N35+(N35*$O$10)</f>
        <v>-65006.47522216785</v>
      </c>
      <c r="P35" s="267">
        <f>SUM(D35:O35)</f>
        <v>-687089.87746297289</v>
      </c>
      <c r="Q35" s="267">
        <f>+P35+(P35*$Q$9)</f>
        <v>-700831.67501223239</v>
      </c>
      <c r="R35" s="267">
        <f>+Q35+(Q35*$Q$9)</f>
        <v>-714848.30851247709</v>
      </c>
    </row>
    <row r="36" spans="2:18" x14ac:dyDescent="0.25">
      <c r="B36" s="259" t="str">
        <f>+'Costos Consolidado'!B38</f>
        <v>Luz</v>
      </c>
      <c r="C36" s="259"/>
      <c r="D36" s="267">
        <f>+'Costos Consolidado'!H38+('Costos Consolidado'!H37*D9)</f>
        <v>-29750</v>
      </c>
      <c r="E36" s="267">
        <f>-('Gastos Fijos'!H22*'Cash Flow (2)'!$E$12)+('Costos Consolidado'!H37*E9)</f>
        <v>-36175.790221889984</v>
      </c>
      <c r="F36" s="267">
        <f>-'Gastos Fijos'!B22-('Gastos Fijos'!B22*$F$9)</f>
        <v>-59500</v>
      </c>
      <c r="G36" s="267">
        <f t="shared" ref="G36:G40" si="13">+F36+(F36*$G$10)</f>
        <v>-59857</v>
      </c>
      <c r="H36" s="267">
        <f t="shared" ref="H36:H40" si="14">+G36+(G36*$H$10)</f>
        <v>-60275.999000000003</v>
      </c>
      <c r="I36" s="267">
        <f t="shared" ref="I36:I40" si="15">+H36+(H36*$I$10)</f>
        <v>-60758.206992000007</v>
      </c>
      <c r="J36" s="267">
        <f t="shared" ref="J36:J40" si="16">+I36+(I36*$J$10)</f>
        <v>-61548.063682896005</v>
      </c>
      <c r="K36" s="267">
        <f t="shared" ref="K36:K40" si="17">+J36+(J36*$K$10)</f>
        <v>-62655.928829188131</v>
      </c>
      <c r="L36" s="267">
        <f t="shared" ref="L36:L40" si="18">+K36+(K36*$L$10)</f>
        <v>-63219.832188650827</v>
      </c>
      <c r="M36" s="267">
        <f t="shared" ref="M36:M40" si="19">+L36+(L36*$M$10)</f>
        <v>-63852.030510537334</v>
      </c>
      <c r="N36" s="267">
        <f t="shared" ref="N36:N40" si="20">+M36+(M36*$N$10)</f>
        <v>-64490.550815642709</v>
      </c>
      <c r="O36" s="267">
        <f t="shared" ref="O36:O40" si="21">+N36+(N36*$O$10)</f>
        <v>-65006.47522216785</v>
      </c>
      <c r="P36" s="267">
        <f t="shared" ref="P36:P41" si="22">SUM(D36:O36)</f>
        <v>-687089.87746297289</v>
      </c>
      <c r="Q36" s="267">
        <f t="shared" ref="Q36:R42" si="23">+P36+(P36*$Q$9)</f>
        <v>-700831.67501223239</v>
      </c>
      <c r="R36" s="267">
        <f t="shared" si="23"/>
        <v>-714848.30851247709</v>
      </c>
    </row>
    <row r="37" spans="2:18" x14ac:dyDescent="0.25">
      <c r="B37" s="259" t="str">
        <f>+'Costos Consolidado'!B39</f>
        <v>Gas</v>
      </c>
      <c r="C37" s="258"/>
      <c r="D37" s="267">
        <f>+'Costos Consolidado'!H39+('Costos Consolidado'!H37*D9)</f>
        <v>-29750</v>
      </c>
      <c r="E37" s="267">
        <f>-('Gastos Fijos'!H23*'Cash Flow (2)'!$E$12)+('Costos Consolidado'!H37*E9)</f>
        <v>-36175.790221889984</v>
      </c>
      <c r="F37" s="267">
        <f>-'Gastos Fijos'!B23-('Gastos Fijos'!B23*$F$9)</f>
        <v>-59500</v>
      </c>
      <c r="G37" s="267">
        <f t="shared" si="13"/>
        <v>-59857</v>
      </c>
      <c r="H37" s="267">
        <f t="shared" si="14"/>
        <v>-60275.999000000003</v>
      </c>
      <c r="I37" s="267">
        <f t="shared" si="15"/>
        <v>-60758.206992000007</v>
      </c>
      <c r="J37" s="267">
        <f t="shared" si="16"/>
        <v>-61548.063682896005</v>
      </c>
      <c r="K37" s="267">
        <f t="shared" si="17"/>
        <v>-62655.928829188131</v>
      </c>
      <c r="L37" s="267">
        <f t="shared" si="18"/>
        <v>-63219.832188650827</v>
      </c>
      <c r="M37" s="267">
        <f t="shared" si="19"/>
        <v>-63852.030510537334</v>
      </c>
      <c r="N37" s="267">
        <f t="shared" si="20"/>
        <v>-64490.550815642709</v>
      </c>
      <c r="O37" s="267">
        <f t="shared" si="21"/>
        <v>-65006.47522216785</v>
      </c>
      <c r="P37" s="267">
        <f t="shared" si="22"/>
        <v>-687089.87746297289</v>
      </c>
      <c r="Q37" s="267">
        <f t="shared" si="23"/>
        <v>-700831.67501223239</v>
      </c>
      <c r="R37" s="267">
        <f t="shared" si="23"/>
        <v>-714848.30851247709</v>
      </c>
    </row>
    <row r="38" spans="2:18" x14ac:dyDescent="0.25">
      <c r="B38" s="259" t="str">
        <f>+'Costos Consolidado'!B40</f>
        <v>Internet-Televisión-Telefonía</v>
      </c>
      <c r="C38" s="258"/>
      <c r="D38" s="267">
        <f>+'Costos Consolidado'!H40+('Costos Consolidado'!H37*D9)</f>
        <v>-24750</v>
      </c>
      <c r="E38" s="267">
        <f>-('Gastos Fijos'!H24*'Cash Flow (2)'!$E$12)+('Costos Consolidado'!H37*E9)</f>
        <v>-29890.632177511983</v>
      </c>
      <c r="F38" s="267">
        <f>-'Gastos Fijos'!B24-('Gastos Fijos'!B24*$F$9)</f>
        <v>-47600</v>
      </c>
      <c r="G38" s="267">
        <f t="shared" si="13"/>
        <v>-47885.599999999999</v>
      </c>
      <c r="H38" s="267">
        <f t="shared" si="14"/>
        <v>-48220.799200000001</v>
      </c>
      <c r="I38" s="267">
        <f t="shared" si="15"/>
        <v>-48606.565593600004</v>
      </c>
      <c r="J38" s="267">
        <f t="shared" si="16"/>
        <v>-49238.450946316807</v>
      </c>
      <c r="K38" s="267">
        <f t="shared" si="17"/>
        <v>-50124.743063350506</v>
      </c>
      <c r="L38" s="267">
        <f t="shared" si="18"/>
        <v>-50575.865750920661</v>
      </c>
      <c r="M38" s="267">
        <f t="shared" si="19"/>
        <v>-51081.624408429867</v>
      </c>
      <c r="N38" s="267">
        <f t="shared" si="20"/>
        <v>-51592.440652514168</v>
      </c>
      <c r="O38" s="267">
        <f t="shared" si="21"/>
        <v>-52005.180177734284</v>
      </c>
      <c r="P38" s="267">
        <f t="shared" si="22"/>
        <v>-551571.90197037836</v>
      </c>
      <c r="Q38" s="267">
        <f t="shared" si="23"/>
        <v>-562603.34000978596</v>
      </c>
      <c r="R38" s="267">
        <f t="shared" si="23"/>
        <v>-573855.40680998168</v>
      </c>
    </row>
    <row r="39" spans="2:18" x14ac:dyDescent="0.25">
      <c r="B39" s="259" t="str">
        <f>+'Costos Consolidado'!B41</f>
        <v>Publicidad y Seguros</v>
      </c>
      <c r="C39" s="258"/>
      <c r="D39" s="267">
        <f>+'Costos Consolidado'!H41+('Costos Consolidado'!H37*D9)</f>
        <v>-44750</v>
      </c>
      <c r="E39" s="267">
        <f>-('Gastos Fijos'!H25*'Cash Flow (2)'!$E$12)+('Costos Consolidado'!H37*E9)</f>
        <v>-55031.264355023966</v>
      </c>
      <c r="F39" s="267">
        <f>-'Gastos Fijos'!B25-('Gastos Fijos'!B25*$F$9)</f>
        <v>-95200</v>
      </c>
      <c r="G39" s="267">
        <f t="shared" si="13"/>
        <v>-95771.199999999997</v>
      </c>
      <c r="H39" s="267">
        <f t="shared" si="14"/>
        <v>-96441.598400000003</v>
      </c>
      <c r="I39" s="267">
        <f t="shared" si="15"/>
        <v>-97213.131187200008</v>
      </c>
      <c r="J39" s="267">
        <f t="shared" si="16"/>
        <v>-98476.901892633614</v>
      </c>
      <c r="K39" s="267">
        <f t="shared" si="17"/>
        <v>-100249.48612670101</v>
      </c>
      <c r="L39" s="267">
        <f t="shared" si="18"/>
        <v>-101151.73150184132</v>
      </c>
      <c r="M39" s="267">
        <f t="shared" si="19"/>
        <v>-102163.24881685973</v>
      </c>
      <c r="N39" s="267">
        <f t="shared" si="20"/>
        <v>-103184.88130502834</v>
      </c>
      <c r="O39" s="267">
        <f t="shared" si="21"/>
        <v>-104010.36035546857</v>
      </c>
      <c r="P39" s="267">
        <f t="shared" si="22"/>
        <v>-1093643.8039407567</v>
      </c>
      <c r="Q39" s="267">
        <f t="shared" si="23"/>
        <v>-1115516.6800195719</v>
      </c>
      <c r="R39" s="267">
        <f t="shared" si="23"/>
        <v>-1137827.0136199633</v>
      </c>
    </row>
    <row r="40" spans="2:18" x14ac:dyDescent="0.25">
      <c r="B40" s="259" t="str">
        <f>+'Costos Consolidado'!B42</f>
        <v>Arriendo</v>
      </c>
      <c r="C40" s="258"/>
      <c r="D40" s="267">
        <f>+'Costos Consolidado'!H42+('Costos Consolidado'!H37*D9)</f>
        <v>-254750</v>
      </c>
      <c r="E40" s="267">
        <f>-('Gastos Fijos'!H26*'Cash Flow (2)'!$E$12)+('Costos Consolidado'!H37*E9)</f>
        <v>-319007.90221889981</v>
      </c>
      <c r="F40" s="267">
        <f>-'Gastos Fijos'!B26</f>
        <v>-500000</v>
      </c>
      <c r="G40" s="267">
        <f t="shared" si="13"/>
        <v>-503000</v>
      </c>
      <c r="H40" s="267">
        <f t="shared" si="14"/>
        <v>-506521</v>
      </c>
      <c r="I40" s="267">
        <f t="shared" si="15"/>
        <v>-510573.16800000001</v>
      </c>
      <c r="J40" s="267">
        <f t="shared" si="16"/>
        <v>-517210.61918400001</v>
      </c>
      <c r="K40" s="267">
        <f t="shared" si="17"/>
        <v>-526520.41032931197</v>
      </c>
      <c r="L40" s="267">
        <f t="shared" si="18"/>
        <v>-531259.09402227576</v>
      </c>
      <c r="M40" s="267">
        <f t="shared" si="19"/>
        <v>-536571.68496249849</v>
      </c>
      <c r="N40" s="267">
        <f t="shared" si="20"/>
        <v>-541937.40181212348</v>
      </c>
      <c r="O40" s="267">
        <f t="shared" si="21"/>
        <v>-546272.90102662053</v>
      </c>
      <c r="P40" s="267">
        <f t="shared" si="22"/>
        <v>-5793624.1815557303</v>
      </c>
      <c r="Q40" s="267">
        <f t="shared" si="23"/>
        <v>-5909496.6651868448</v>
      </c>
      <c r="R40" s="267">
        <f t="shared" si="23"/>
        <v>-6027686.5984905818</v>
      </c>
    </row>
    <row r="41" spans="2:18" x14ac:dyDescent="0.25">
      <c r="B41" s="259" t="str">
        <f>+'Costos Consolidado'!B43</f>
        <v>Depreciaciones</v>
      </c>
      <c r="C41" s="258"/>
      <c r="D41" s="267">
        <f>+'Costos Consolidado'!H43</f>
        <v>-10525.718948412699</v>
      </c>
      <c r="E41" s="267">
        <f>-Activos!AC14*'Cash Flow (2)'!E12</f>
        <v>-13231.161424295595</v>
      </c>
      <c r="F41" s="267">
        <f>-Activos!I26</f>
        <v>-21051.437896825399</v>
      </c>
      <c r="G41" s="267">
        <f>+F41</f>
        <v>-21051.437896825399</v>
      </c>
      <c r="H41" s="267">
        <f t="shared" ref="H41:O41" si="24">+G41</f>
        <v>-21051.437896825399</v>
      </c>
      <c r="I41" s="267">
        <f t="shared" si="24"/>
        <v>-21051.437896825399</v>
      </c>
      <c r="J41" s="267">
        <f t="shared" si="24"/>
        <v>-21051.437896825399</v>
      </c>
      <c r="K41" s="267">
        <f t="shared" si="24"/>
        <v>-21051.437896825399</v>
      </c>
      <c r="L41" s="267">
        <f t="shared" si="24"/>
        <v>-21051.437896825399</v>
      </c>
      <c r="M41" s="267">
        <f t="shared" si="24"/>
        <v>-21051.437896825399</v>
      </c>
      <c r="N41" s="267">
        <f t="shared" si="24"/>
        <v>-21051.437896825399</v>
      </c>
      <c r="O41" s="267">
        <f t="shared" si="24"/>
        <v>-21051.437896825399</v>
      </c>
      <c r="P41" s="267">
        <f t="shared" si="22"/>
        <v>-234271.25934096231</v>
      </c>
      <c r="Q41" s="267">
        <f t="shared" si="23"/>
        <v>-238956.68452778156</v>
      </c>
      <c r="R41" s="267">
        <f t="shared" si="23"/>
        <v>-243735.8182183372</v>
      </c>
    </row>
    <row r="42" spans="2:18" x14ac:dyDescent="0.25">
      <c r="B42" s="259" t="str">
        <f>+'Costos Consolidado'!B44</f>
        <v>Sueldo Cajera Administrativa</v>
      </c>
      <c r="C42" s="258"/>
      <c r="D42" s="267">
        <f>+'Costos Consolidado'!H44</f>
        <v>-327563</v>
      </c>
      <c r="E42" s="267">
        <f>-('Gastos Fijos'!H27*'Cash Flow (2)'!$E$12)</f>
        <v>-411757.04489811789</v>
      </c>
      <c r="F42" s="267">
        <f>-Remus!P36</f>
        <v>-655126</v>
      </c>
      <c r="G42" s="267">
        <f t="shared" ref="G42:O42" si="25">+F42</f>
        <v>-655126</v>
      </c>
      <c r="H42" s="267">
        <f t="shared" si="25"/>
        <v>-655126</v>
      </c>
      <c r="I42" s="267">
        <f t="shared" si="25"/>
        <v>-655126</v>
      </c>
      <c r="J42" s="267">
        <f t="shared" si="25"/>
        <v>-655126</v>
      </c>
      <c r="K42" s="267">
        <f t="shared" si="25"/>
        <v>-655126</v>
      </c>
      <c r="L42" s="267">
        <f t="shared" si="25"/>
        <v>-655126</v>
      </c>
      <c r="M42" s="267">
        <f t="shared" si="25"/>
        <v>-655126</v>
      </c>
      <c r="N42" s="267">
        <f t="shared" si="25"/>
        <v>-655126</v>
      </c>
      <c r="O42" s="267">
        <f t="shared" si="25"/>
        <v>-655126</v>
      </c>
      <c r="P42" s="267">
        <f t="shared" ref="P42" si="26">SUM(D42:O42)</f>
        <v>-7290580.0448981179</v>
      </c>
      <c r="Q42" s="267">
        <f t="shared" si="23"/>
        <v>-7436391.6457960801</v>
      </c>
      <c r="R42" s="267">
        <f t="shared" si="23"/>
        <v>-7585119.4787120018</v>
      </c>
    </row>
    <row r="43" spans="2:18" x14ac:dyDescent="0.25">
      <c r="B43" s="259"/>
      <c r="C43" s="258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</row>
    <row r="44" spans="2:18" x14ac:dyDescent="0.25">
      <c r="B44" s="259"/>
      <c r="C44" s="259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</row>
    <row r="45" spans="2:18" x14ac:dyDescent="0.25">
      <c r="B45" s="271" t="s">
        <v>313</v>
      </c>
      <c r="C45" s="272"/>
      <c r="D45" s="273">
        <f t="shared" ref="D45:R45" si="27">SUM(D35:D44)</f>
        <v>-751588.71894841269</v>
      </c>
      <c r="E45" s="273">
        <f t="shared" si="27"/>
        <v>-937445.37573951925</v>
      </c>
      <c r="F45" s="273">
        <f t="shared" si="27"/>
        <v>-1497477.4378968254</v>
      </c>
      <c r="G45" s="273">
        <f t="shared" si="27"/>
        <v>-1502405.2378968254</v>
      </c>
      <c r="H45" s="273">
        <f t="shared" si="27"/>
        <v>-1508188.8324968254</v>
      </c>
      <c r="I45" s="273">
        <f t="shared" si="27"/>
        <v>-1514844.9236536254</v>
      </c>
      <c r="J45" s="273">
        <f t="shared" si="27"/>
        <v>-1525747.6009684638</v>
      </c>
      <c r="K45" s="273">
        <f t="shared" si="27"/>
        <v>-1541039.8639037532</v>
      </c>
      <c r="L45" s="273">
        <f t="shared" si="27"/>
        <v>-1548823.6257378156</v>
      </c>
      <c r="M45" s="273">
        <f t="shared" si="27"/>
        <v>-1557550.0876162255</v>
      </c>
      <c r="N45" s="273">
        <f t="shared" si="27"/>
        <v>-1566363.8141134195</v>
      </c>
      <c r="O45" s="273">
        <f t="shared" si="27"/>
        <v>-1573485.3051231522</v>
      </c>
      <c r="P45" s="273">
        <f t="shared" si="27"/>
        <v>-17024960.824094865</v>
      </c>
      <c r="Q45" s="273">
        <f t="shared" si="27"/>
        <v>-17365460.04057676</v>
      </c>
      <c r="R45" s="273">
        <f t="shared" si="27"/>
        <v>-17712769.241388299</v>
      </c>
    </row>
    <row r="46" spans="2:18" x14ac:dyDescent="0.25">
      <c r="B46" s="271" t="s">
        <v>314</v>
      </c>
      <c r="C46" s="272"/>
      <c r="D46" s="273">
        <f>+D45</f>
        <v>-751588.71894841269</v>
      </c>
      <c r="E46" s="273">
        <f t="shared" ref="E46:R46" si="28">+E45</f>
        <v>-937445.37573951925</v>
      </c>
      <c r="F46" s="273">
        <f t="shared" si="28"/>
        <v>-1497477.4378968254</v>
      </c>
      <c r="G46" s="273">
        <f t="shared" si="28"/>
        <v>-1502405.2378968254</v>
      </c>
      <c r="H46" s="273">
        <f t="shared" si="28"/>
        <v>-1508188.8324968254</v>
      </c>
      <c r="I46" s="273">
        <f t="shared" si="28"/>
        <v>-1514844.9236536254</v>
      </c>
      <c r="J46" s="273">
        <f t="shared" si="28"/>
        <v>-1525747.6009684638</v>
      </c>
      <c r="K46" s="273">
        <f t="shared" si="28"/>
        <v>-1541039.8639037532</v>
      </c>
      <c r="L46" s="273">
        <f t="shared" si="28"/>
        <v>-1548823.6257378156</v>
      </c>
      <c r="M46" s="273">
        <f t="shared" si="28"/>
        <v>-1557550.0876162255</v>
      </c>
      <c r="N46" s="273">
        <f t="shared" si="28"/>
        <v>-1566363.8141134195</v>
      </c>
      <c r="O46" s="273">
        <f t="shared" si="28"/>
        <v>-1573485.3051231522</v>
      </c>
      <c r="P46" s="273">
        <f t="shared" si="28"/>
        <v>-17024960.824094865</v>
      </c>
      <c r="Q46" s="273">
        <f t="shared" si="28"/>
        <v>-17365460.04057676</v>
      </c>
      <c r="R46" s="273">
        <f t="shared" si="28"/>
        <v>-17712769.241388299</v>
      </c>
    </row>
    <row r="47" spans="2:18" x14ac:dyDescent="0.25">
      <c r="B47" s="271" t="s">
        <v>315</v>
      </c>
      <c r="C47" s="272"/>
      <c r="D47" s="273">
        <f>+D32+D46</f>
        <v>174974.47972683597</v>
      </c>
      <c r="E47" s="273">
        <f>+E32+E46</f>
        <v>2053425.0156375004</v>
      </c>
      <c r="F47" s="273">
        <f>+F32+F46</f>
        <v>1494434.1536052842</v>
      </c>
      <c r="G47" s="273">
        <f>+G32+G46</f>
        <v>1511388.5791542965</v>
      </c>
      <c r="H47" s="273">
        <f>+H32+H46</f>
        <v>1531287.4232736549</v>
      </c>
      <c r="I47" s="273">
        <f>+I32+I46</f>
        <v>1554188.1501630186</v>
      </c>
      <c r="J47" s="273">
        <f>+J32+J46</f>
        <v>1591699.5408077962</v>
      </c>
      <c r="K47" s="273">
        <f>+K32+K46</f>
        <v>1644313.5944244799</v>
      </c>
      <c r="L47" s="273">
        <f>+L32+L46</f>
        <v>1671094.1477153725</v>
      </c>
      <c r="M47" s="273">
        <f>+M32+M46</f>
        <v>1701118.1235714939</v>
      </c>
      <c r="N47" s="273">
        <f>+N32+N46</f>
        <v>1731442.3391861776</v>
      </c>
      <c r="O47" s="273">
        <f>+O32+O46</f>
        <v>1755944.3054028414</v>
      </c>
      <c r="P47" s="273">
        <f>+P32+P46</f>
        <v>18415309.852668751</v>
      </c>
      <c r="Q47" s="273">
        <f>+Q32+Q46</f>
        <v>18783616.049722131</v>
      </c>
      <c r="R47" s="273">
        <f>+R32+R46</f>
        <v>18797797.609813578</v>
      </c>
    </row>
    <row r="48" spans="2:18" x14ac:dyDescent="0.25">
      <c r="B48" s="312"/>
      <c r="C48" s="313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</row>
    <row r="49" spans="2:18" x14ac:dyDescent="0.25">
      <c r="B49" s="104"/>
      <c r="C49" s="104"/>
      <c r="D49" s="137">
        <f>+'Cash Flow'!D47</f>
        <v>0</v>
      </c>
      <c r="E49" s="137">
        <f>+'Cash Flow'!E47</f>
        <v>1425126.0000000002</v>
      </c>
      <c r="F49" s="137">
        <f>+'Cash Flow'!F47</f>
        <v>885651.14288959606</v>
      </c>
      <c r="G49" s="137">
        <f>+'Cash Flow'!G47</f>
        <v>898952.87037431449</v>
      </c>
      <c r="H49" s="137">
        <f>+'Cash Flow'!H47</f>
        <v>914564.66453221254</v>
      </c>
      <c r="I49" s="137">
        <f>+'Cash Flow'!I47</f>
        <v>932531.60935164453</v>
      </c>
      <c r="J49" s="137">
        <f>+'Cash Flow'!J47</f>
        <v>961961.46496587503</v>
      </c>
      <c r="K49" s="137">
        <f>+'Cash Flow'!K47</f>
        <v>1003240.2332174035</v>
      </c>
      <c r="L49" s="137">
        <f>+'Cash Flow'!L47</f>
        <v>1024251.1262574322</v>
      </c>
      <c r="M49" s="137">
        <f>+'Cash Flow'!M47</f>
        <v>1047806.6718989748</v>
      </c>
      <c r="N49" s="137">
        <f>+'Cash Flow'!N47</f>
        <v>1071597.7729969327</v>
      </c>
      <c r="O49" s="137">
        <f>+'Cash Flow'!O47</f>
        <v>1090820.9826840828</v>
      </c>
      <c r="P49" s="137">
        <f>+'Cash Flow'!P47</f>
        <v>11256504.539168473</v>
      </c>
      <c r="Q49" s="137">
        <f>+'Cash Flow'!Q47</f>
        <v>11481634.629951846</v>
      </c>
      <c r="R49" s="137">
        <f>+'Cash Flow'!R47</f>
        <v>11428840.470304251</v>
      </c>
    </row>
    <row r="50" spans="2:18" x14ac:dyDescent="0.25">
      <c r="B50" s="104"/>
      <c r="C50" s="104"/>
      <c r="D50" s="137">
        <f>+D47-D49</f>
        <v>174974.47972683597</v>
      </c>
      <c r="E50" s="137">
        <f t="shared" ref="E50:O50" si="29">+E47-E49</f>
        <v>628299.01563750021</v>
      </c>
      <c r="F50" s="137">
        <f t="shared" si="29"/>
        <v>608783.01071568811</v>
      </c>
      <c r="G50" s="137">
        <f t="shared" si="29"/>
        <v>612435.70877998206</v>
      </c>
      <c r="H50" s="137">
        <f t="shared" si="29"/>
        <v>616722.75874144235</v>
      </c>
      <c r="I50" s="137">
        <f t="shared" si="29"/>
        <v>621656.54081137409</v>
      </c>
      <c r="J50" s="137">
        <f t="shared" si="29"/>
        <v>629738.07584192115</v>
      </c>
      <c r="K50" s="137">
        <f t="shared" si="29"/>
        <v>641073.36120707635</v>
      </c>
      <c r="L50" s="137">
        <f t="shared" si="29"/>
        <v>646843.02145794034</v>
      </c>
      <c r="M50" s="137">
        <f t="shared" si="29"/>
        <v>653311.45167251909</v>
      </c>
      <c r="N50" s="137">
        <f t="shared" si="29"/>
        <v>659844.56618924486</v>
      </c>
      <c r="O50" s="137">
        <f t="shared" si="29"/>
        <v>665123.3227187586</v>
      </c>
      <c r="P50" s="137">
        <f t="shared" ref="P50" si="30">+P47-P49</f>
        <v>7158805.3135002777</v>
      </c>
      <c r="Q50" s="137">
        <f t="shared" ref="Q50" si="31">+Q47-Q49</f>
        <v>7301981.4197702855</v>
      </c>
      <c r="R50" s="137">
        <f t="shared" ref="R50" si="32">+R47-R49</f>
        <v>7368957.1395093277</v>
      </c>
    </row>
    <row r="51" spans="2:18" x14ac:dyDescent="0.25">
      <c r="B51" s="104"/>
      <c r="C51" s="104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04"/>
      <c r="Q51" s="104"/>
      <c r="R51" s="104"/>
    </row>
    <row r="52" spans="2:18" x14ac:dyDescent="0.25">
      <c r="B52" s="104" t="s">
        <v>316</v>
      </c>
      <c r="C52" s="104"/>
      <c r="D52" s="252">
        <v>0.01</v>
      </c>
      <c r="E52" s="252">
        <v>0.01</v>
      </c>
      <c r="F52" s="252">
        <v>0.01</v>
      </c>
      <c r="G52" s="252">
        <v>0.01</v>
      </c>
      <c r="H52" s="252">
        <v>0.01</v>
      </c>
      <c r="I52" s="252">
        <v>0.01</v>
      </c>
      <c r="J52" s="252">
        <v>0.01</v>
      </c>
      <c r="K52" s="252">
        <v>0.01</v>
      </c>
      <c r="L52" s="252">
        <v>0.01</v>
      </c>
      <c r="M52" s="252">
        <v>0.01</v>
      </c>
      <c r="N52" s="252">
        <v>0.01</v>
      </c>
      <c r="O52" s="252">
        <v>0.01</v>
      </c>
      <c r="P52" s="252">
        <v>0.01</v>
      </c>
      <c r="Q52" s="104"/>
      <c r="R52" s="104"/>
    </row>
    <row r="53" spans="2:18" x14ac:dyDescent="0.25">
      <c r="B53" s="264" t="s">
        <v>317</v>
      </c>
      <c r="C53" s="265"/>
      <c r="D53" s="275">
        <v>0.1</v>
      </c>
      <c r="E53" s="275">
        <v>0.1</v>
      </c>
      <c r="F53" s="275">
        <v>0.1</v>
      </c>
      <c r="G53" s="275">
        <v>0.1</v>
      </c>
      <c r="H53" s="275">
        <v>0.1</v>
      </c>
      <c r="I53" s="275">
        <v>0.1</v>
      </c>
      <c r="J53" s="275">
        <v>0.1</v>
      </c>
      <c r="K53" s="275">
        <v>0.1</v>
      </c>
      <c r="L53" s="275">
        <v>0.1</v>
      </c>
      <c r="M53" s="275">
        <v>0.1</v>
      </c>
      <c r="N53" s="275">
        <v>0.1</v>
      </c>
      <c r="O53" s="275">
        <v>0.1</v>
      </c>
      <c r="P53" s="275">
        <v>0.1</v>
      </c>
      <c r="Q53" s="275">
        <v>0.1</v>
      </c>
      <c r="R53" s="275">
        <v>0.1</v>
      </c>
    </row>
    <row r="54" spans="2:18" x14ac:dyDescent="0.25"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</row>
    <row r="55" spans="2:18" x14ac:dyDescent="0.25">
      <c r="B55" s="259" t="s">
        <v>318</v>
      </c>
      <c r="C55" s="259"/>
      <c r="D55" s="267">
        <f>+D49*D53*-1</f>
        <v>0</v>
      </c>
      <c r="E55" s="267">
        <f t="shared" ref="E55:R55" si="33">+E49*E53*-1</f>
        <v>-142512.60000000003</v>
      </c>
      <c r="F55" s="267">
        <f t="shared" si="33"/>
        <v>-88565.114288959609</v>
      </c>
      <c r="G55" s="267">
        <f t="shared" si="33"/>
        <v>-89895.287037431452</v>
      </c>
      <c r="H55" s="267">
        <f t="shared" si="33"/>
        <v>-91456.466453221263</v>
      </c>
      <c r="I55" s="267">
        <f t="shared" si="33"/>
        <v>-93253.160935164458</v>
      </c>
      <c r="J55" s="267">
        <f t="shared" si="33"/>
        <v>-96196.146496587506</v>
      </c>
      <c r="K55" s="267">
        <f t="shared" si="33"/>
        <v>-100324.02332174036</v>
      </c>
      <c r="L55" s="267">
        <f t="shared" si="33"/>
        <v>-102425.11262574322</v>
      </c>
      <c r="M55" s="267">
        <f t="shared" si="33"/>
        <v>-104780.66718989749</v>
      </c>
      <c r="N55" s="267">
        <f t="shared" si="33"/>
        <v>-107159.77729969328</v>
      </c>
      <c r="O55" s="267">
        <f t="shared" si="33"/>
        <v>-109082.09826840828</v>
      </c>
      <c r="P55" s="267">
        <f t="shared" si="33"/>
        <v>-1125650.4539168475</v>
      </c>
      <c r="Q55" s="267">
        <f t="shared" si="33"/>
        <v>-1148163.4629951846</v>
      </c>
      <c r="R55" s="267">
        <f t="shared" si="33"/>
        <v>-1142884.0470304252</v>
      </c>
    </row>
    <row r="56" spans="2:18" x14ac:dyDescent="0.25"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</row>
    <row r="57" spans="2:18" x14ac:dyDescent="0.25">
      <c r="B57" s="276" t="s">
        <v>319</v>
      </c>
      <c r="C57" s="277"/>
      <c r="D57" s="273">
        <f>SUM(D54:D56)</f>
        <v>0</v>
      </c>
      <c r="E57" s="273">
        <f t="shared" ref="E57:R57" si="34">SUM(E54:E56)</f>
        <v>-142512.60000000003</v>
      </c>
      <c r="F57" s="273">
        <f t="shared" si="34"/>
        <v>-88565.114288959609</v>
      </c>
      <c r="G57" s="273">
        <f t="shared" si="34"/>
        <v>-89895.287037431452</v>
      </c>
      <c r="H57" s="273">
        <f t="shared" si="34"/>
        <v>-91456.466453221263</v>
      </c>
      <c r="I57" s="273">
        <f t="shared" si="34"/>
        <v>-93253.160935164458</v>
      </c>
      <c r="J57" s="273">
        <f t="shared" si="34"/>
        <v>-96196.146496587506</v>
      </c>
      <c r="K57" s="273">
        <f t="shared" si="34"/>
        <v>-100324.02332174036</v>
      </c>
      <c r="L57" s="273">
        <f t="shared" si="34"/>
        <v>-102425.11262574322</v>
      </c>
      <c r="M57" s="273">
        <f t="shared" si="34"/>
        <v>-104780.66718989749</v>
      </c>
      <c r="N57" s="273">
        <f t="shared" si="34"/>
        <v>-107159.77729969328</v>
      </c>
      <c r="O57" s="273">
        <f t="shared" si="34"/>
        <v>-109082.09826840828</v>
      </c>
      <c r="P57" s="273">
        <f t="shared" si="34"/>
        <v>-1125650.4539168475</v>
      </c>
      <c r="Q57" s="273">
        <f t="shared" si="34"/>
        <v>-1148163.4629951846</v>
      </c>
      <c r="R57" s="273">
        <f t="shared" si="34"/>
        <v>-1142884.0470304252</v>
      </c>
    </row>
    <row r="58" spans="2:18" x14ac:dyDescent="0.25">
      <c r="B58" s="271" t="s">
        <v>320</v>
      </c>
      <c r="C58" s="272"/>
      <c r="D58" s="273">
        <f t="shared" ref="D58:R58" si="35">+D47+D57</f>
        <v>174974.47972683597</v>
      </c>
      <c r="E58" s="273">
        <f t="shared" si="35"/>
        <v>1910912.4156375004</v>
      </c>
      <c r="F58" s="273">
        <f t="shared" si="35"/>
        <v>1405869.0393163245</v>
      </c>
      <c r="G58" s="273">
        <f t="shared" si="35"/>
        <v>1421493.2921168651</v>
      </c>
      <c r="H58" s="273">
        <f t="shared" si="35"/>
        <v>1439830.9568204337</v>
      </c>
      <c r="I58" s="273">
        <f t="shared" si="35"/>
        <v>1460934.9892278542</v>
      </c>
      <c r="J58" s="273">
        <f t="shared" si="35"/>
        <v>1495503.3943112087</v>
      </c>
      <c r="K58" s="273">
        <f t="shared" si="35"/>
        <v>1543989.5711027395</v>
      </c>
      <c r="L58" s="273">
        <f t="shared" si="35"/>
        <v>1568669.0350896292</v>
      </c>
      <c r="M58" s="273">
        <f t="shared" si="35"/>
        <v>1596337.4563815964</v>
      </c>
      <c r="N58" s="273">
        <f t="shared" si="35"/>
        <v>1624282.5618864843</v>
      </c>
      <c r="O58" s="273">
        <f t="shared" si="35"/>
        <v>1646862.2071344331</v>
      </c>
      <c r="P58" s="273">
        <f t="shared" si="35"/>
        <v>17289659.398751903</v>
      </c>
      <c r="Q58" s="273">
        <f t="shared" si="35"/>
        <v>17635452.586726949</v>
      </c>
      <c r="R58" s="273">
        <f t="shared" si="35"/>
        <v>17654913.562783152</v>
      </c>
    </row>
    <row r="59" spans="2:18" x14ac:dyDescent="0.25"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</row>
    <row r="60" spans="2:18" x14ac:dyDescent="0.25">
      <c r="B60" s="259" t="s">
        <v>165</v>
      </c>
      <c r="C60" s="267">
        <f>-Inversión!B43</f>
        <v>-5348035.5999999996</v>
      </c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</row>
    <row r="61" spans="2:18" x14ac:dyDescent="0.25">
      <c r="B61" s="259" t="s">
        <v>321</v>
      </c>
      <c r="C61" s="267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67">
        <f>SUM(D61:O61)</f>
        <v>0</v>
      </c>
      <c r="Q61" s="259"/>
      <c r="R61" s="259"/>
    </row>
    <row r="62" spans="2:18" x14ac:dyDescent="0.25">
      <c r="B62" s="259" t="s">
        <v>322</v>
      </c>
      <c r="C62" s="267"/>
      <c r="D62" s="278">
        <f>-D55</f>
        <v>0</v>
      </c>
      <c r="E62" s="278">
        <f>-E55</f>
        <v>142512.60000000003</v>
      </c>
      <c r="F62" s="278">
        <f t="shared" ref="F62:O62" si="36">-F55</f>
        <v>88565.114288959609</v>
      </c>
      <c r="G62" s="278">
        <f t="shared" si="36"/>
        <v>89895.287037431452</v>
      </c>
      <c r="H62" s="278">
        <f t="shared" si="36"/>
        <v>91456.466453221263</v>
      </c>
      <c r="I62" s="278">
        <f t="shared" si="36"/>
        <v>93253.160935164458</v>
      </c>
      <c r="J62" s="278">
        <f t="shared" si="36"/>
        <v>96196.146496587506</v>
      </c>
      <c r="K62" s="278">
        <f t="shared" si="36"/>
        <v>100324.02332174036</v>
      </c>
      <c r="L62" s="278">
        <f t="shared" si="36"/>
        <v>102425.11262574322</v>
      </c>
      <c r="M62" s="278">
        <f t="shared" si="36"/>
        <v>104780.66718989749</v>
      </c>
      <c r="N62" s="278">
        <f t="shared" si="36"/>
        <v>107159.77729969328</v>
      </c>
      <c r="O62" s="278">
        <f t="shared" si="36"/>
        <v>109082.09826840828</v>
      </c>
      <c r="P62" s="267">
        <f>SUM(D62:O62)</f>
        <v>1125650.453916847</v>
      </c>
      <c r="Q62" s="267">
        <f t="shared" ref="Q62:R63" si="37">+P62+(P62*$Q$9)</f>
        <v>1148163.4629951839</v>
      </c>
      <c r="R62" s="267">
        <f t="shared" si="37"/>
        <v>1171126.7322550875</v>
      </c>
    </row>
    <row r="63" spans="2:18" x14ac:dyDescent="0.25">
      <c r="B63" s="259" t="s">
        <v>323</v>
      </c>
      <c r="C63" s="259"/>
      <c r="D63" s="278">
        <f>(D52*D62)</f>
        <v>0</v>
      </c>
      <c r="E63" s="278">
        <f>(E52*E62)</f>
        <v>1425.1260000000004</v>
      </c>
      <c r="F63" s="278">
        <f t="shared" ref="F63:O63" si="38">(F52*F62)</f>
        <v>885.65114288959614</v>
      </c>
      <c r="G63" s="278">
        <f t="shared" si="38"/>
        <v>898.95287037431456</v>
      </c>
      <c r="H63" s="278">
        <f t="shared" si="38"/>
        <v>914.56466453221265</v>
      </c>
      <c r="I63" s="278">
        <f t="shared" si="38"/>
        <v>932.53160935164465</v>
      </c>
      <c r="J63" s="278">
        <f t="shared" si="38"/>
        <v>961.96146496587505</v>
      </c>
      <c r="K63" s="278">
        <f t="shared" si="38"/>
        <v>1003.2402332174036</v>
      </c>
      <c r="L63" s="278">
        <f t="shared" si="38"/>
        <v>1024.2511262574321</v>
      </c>
      <c r="M63" s="278">
        <f t="shared" si="38"/>
        <v>1047.8066718989749</v>
      </c>
      <c r="N63" s="278">
        <f t="shared" si="38"/>
        <v>1071.5977729969327</v>
      </c>
      <c r="O63" s="278">
        <f t="shared" si="38"/>
        <v>1090.8209826840828</v>
      </c>
      <c r="P63" s="267">
        <f>SUM(D63:O63)</f>
        <v>11256.504539168471</v>
      </c>
      <c r="Q63" s="267">
        <f t="shared" si="37"/>
        <v>11481.634629951841</v>
      </c>
      <c r="R63" s="267">
        <f t="shared" si="37"/>
        <v>11711.267322550877</v>
      </c>
    </row>
    <row r="64" spans="2:18" x14ac:dyDescent="0.25">
      <c r="B64" s="259"/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67"/>
      <c r="Q64" s="259"/>
      <c r="R64" s="259"/>
    </row>
    <row r="65" spans="2:18" x14ac:dyDescent="0.25"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</row>
    <row r="66" spans="2:18" x14ac:dyDescent="0.25">
      <c r="B66" s="271" t="s">
        <v>320</v>
      </c>
      <c r="C66" s="273">
        <f>SUM(C60:C65)</f>
        <v>-5348035.5999999996</v>
      </c>
      <c r="D66" s="273">
        <f t="shared" ref="D66" si="39">SUM(D58:D65)</f>
        <v>174974.47972683597</v>
      </c>
      <c r="E66" s="273">
        <f>SUM(E58:E65)</f>
        <v>2054850.1416375004</v>
      </c>
      <c r="F66" s="273">
        <f t="shared" ref="F66:R66" si="40">SUM(F58:F65)</f>
        <v>1495319.8047481738</v>
      </c>
      <c r="G66" s="273">
        <f t="shared" si="40"/>
        <v>1512287.5320246709</v>
      </c>
      <c r="H66" s="273">
        <f t="shared" si="40"/>
        <v>1532201.9879381871</v>
      </c>
      <c r="I66" s="273">
        <f t="shared" si="40"/>
        <v>1555120.6817723704</v>
      </c>
      <c r="J66" s="273">
        <f t="shared" si="40"/>
        <v>1592661.5022727621</v>
      </c>
      <c r="K66" s="273">
        <f t="shared" si="40"/>
        <v>1645316.8346576972</v>
      </c>
      <c r="L66" s="273">
        <f t="shared" si="40"/>
        <v>1672118.39884163</v>
      </c>
      <c r="M66" s="273">
        <f t="shared" si="40"/>
        <v>1702165.9302433929</v>
      </c>
      <c r="N66" s="273">
        <f t="shared" si="40"/>
        <v>1732513.9369591745</v>
      </c>
      <c r="O66" s="273">
        <f t="shared" si="40"/>
        <v>1757035.1263855256</v>
      </c>
      <c r="P66" s="273">
        <f>SUM(P58:P65)</f>
        <v>18426566.35720792</v>
      </c>
      <c r="Q66" s="273">
        <f t="shared" si="40"/>
        <v>18795097.684352085</v>
      </c>
      <c r="R66" s="273">
        <f t="shared" si="40"/>
        <v>18837751.56236079</v>
      </c>
    </row>
    <row r="67" spans="2:18" x14ac:dyDescent="0.25">
      <c r="B67" s="271" t="s">
        <v>324</v>
      </c>
      <c r="C67" s="267"/>
      <c r="D67" s="267">
        <f>+C66</f>
        <v>-5348035.5999999996</v>
      </c>
      <c r="E67" s="267">
        <f t="shared" ref="E67:O67" si="41">+D67+E66</f>
        <v>-3293185.4583624993</v>
      </c>
      <c r="F67" s="267">
        <f t="shared" si="41"/>
        <v>-1797865.6536143254</v>
      </c>
      <c r="G67" s="267">
        <f t="shared" si="41"/>
        <v>-285578.12158965459</v>
      </c>
      <c r="H67" s="267">
        <f>+G67+H66</f>
        <v>1246623.8663485325</v>
      </c>
      <c r="I67" s="267">
        <f t="shared" si="41"/>
        <v>2801744.5481209029</v>
      </c>
      <c r="J67" s="267">
        <f t="shared" si="41"/>
        <v>4394406.0503936652</v>
      </c>
      <c r="K67" s="267">
        <f t="shared" si="41"/>
        <v>6039722.8850513622</v>
      </c>
      <c r="L67" s="267">
        <f t="shared" si="41"/>
        <v>7711841.283892992</v>
      </c>
      <c r="M67" s="267">
        <f t="shared" si="41"/>
        <v>9414007.2141363844</v>
      </c>
      <c r="N67" s="267">
        <f t="shared" si="41"/>
        <v>11146521.151095558</v>
      </c>
      <c r="O67" s="267">
        <f t="shared" si="41"/>
        <v>12903556.277481083</v>
      </c>
      <c r="P67" s="267">
        <f>+P66</f>
        <v>18426566.35720792</v>
      </c>
      <c r="Q67" s="267">
        <f>+Q66</f>
        <v>18795097.684352085</v>
      </c>
      <c r="R67" s="267">
        <f>+R66</f>
        <v>18837751.56236079</v>
      </c>
    </row>
    <row r="68" spans="2:18" x14ac:dyDescent="0.25">
      <c r="B68" s="104"/>
      <c r="C68" s="104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04"/>
      <c r="Q68" s="104"/>
      <c r="R68" s="104"/>
    </row>
    <row r="69" spans="2:18" x14ac:dyDescent="0.25">
      <c r="B69" s="104"/>
      <c r="C69" s="104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04"/>
      <c r="Q69" s="104"/>
      <c r="R69" s="104"/>
    </row>
    <row r="70" spans="2:18" x14ac:dyDescent="0.25">
      <c r="B70" s="284" t="s">
        <v>325</v>
      </c>
      <c r="C70" s="285">
        <v>0.1</v>
      </c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04"/>
      <c r="Q70" s="104"/>
      <c r="R70" s="104"/>
    </row>
    <row r="71" spans="2:18" x14ac:dyDescent="0.25">
      <c r="B71" s="127" t="s">
        <v>326</v>
      </c>
      <c r="C71" s="286">
        <f>+NPV(C70,C66:O66)</f>
        <v>4192860.7108072527</v>
      </c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04"/>
      <c r="Q71" s="104"/>
      <c r="R71" s="104"/>
    </row>
    <row r="72" spans="2:18" x14ac:dyDescent="0.25">
      <c r="B72" s="127"/>
      <c r="C72" s="286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04"/>
      <c r="Q72" s="104"/>
      <c r="R72" s="104"/>
    </row>
    <row r="73" spans="2:18" x14ac:dyDescent="0.25">
      <c r="B73" s="127" t="s">
        <v>327</v>
      </c>
      <c r="C73" s="287">
        <f>+IRR(C66:O66,C70)</f>
        <v>0.23451657726936692</v>
      </c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04"/>
      <c r="Q73" s="104"/>
      <c r="R73" s="104"/>
    </row>
    <row r="74" spans="2:18" x14ac:dyDescent="0.25">
      <c r="B74" s="246" t="s">
        <v>326</v>
      </c>
      <c r="C74" s="288">
        <f>+NPV(C73,C66:O66)</f>
        <v>-1.155179054407128E-9</v>
      </c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04"/>
      <c r="Q74" s="104"/>
      <c r="R74" s="104"/>
    </row>
    <row r="75" spans="2:18" x14ac:dyDescent="0.25">
      <c r="B75" s="104"/>
      <c r="C75" s="104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4"/>
      <c r="Q75" s="104"/>
      <c r="R75" s="104"/>
    </row>
    <row r="76" spans="2:18" x14ac:dyDescent="0.25">
      <c r="B76" s="141" t="s">
        <v>328</v>
      </c>
      <c r="C76" s="104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04"/>
      <c r="Q76" s="104"/>
      <c r="R76" s="104"/>
    </row>
    <row r="77" spans="2:18" x14ac:dyDescent="0.25">
      <c r="B77" s="141"/>
      <c r="C77" s="104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04"/>
      <c r="Q77" s="104"/>
      <c r="R77" s="104"/>
    </row>
    <row r="78" spans="2:18" x14ac:dyDescent="0.25">
      <c r="B78" s="104" t="s">
        <v>329</v>
      </c>
      <c r="C78" s="137">
        <f>-C66</f>
        <v>5348035.5999999996</v>
      </c>
      <c r="D78" s="279">
        <f>+C78/C79</f>
        <v>0.29023506041905678</v>
      </c>
      <c r="E78" s="244" t="s">
        <v>330</v>
      </c>
      <c r="F78" s="211"/>
      <c r="G78" s="137"/>
      <c r="H78" s="137"/>
      <c r="I78" s="137"/>
      <c r="J78" s="137"/>
      <c r="K78" s="137"/>
      <c r="L78" s="137"/>
      <c r="M78" s="137"/>
      <c r="N78" s="137"/>
      <c r="O78" s="137"/>
      <c r="P78" s="104"/>
      <c r="Q78" s="104"/>
      <c r="R78" s="104"/>
    </row>
    <row r="79" spans="2:18" x14ac:dyDescent="0.25">
      <c r="B79" s="222" t="s">
        <v>331</v>
      </c>
      <c r="C79" s="280">
        <f>+P66</f>
        <v>18426566.35720792</v>
      </c>
      <c r="D79" s="253"/>
      <c r="E79" s="137"/>
      <c r="F79" s="211"/>
      <c r="G79" s="137"/>
      <c r="H79" s="211"/>
      <c r="I79" s="137"/>
      <c r="J79" s="137"/>
      <c r="K79" s="137"/>
      <c r="L79" s="137"/>
      <c r="M79" s="137"/>
      <c r="N79" s="137"/>
      <c r="O79" s="137"/>
      <c r="P79" s="104"/>
      <c r="Q79" s="104"/>
      <c r="R79" s="104"/>
    </row>
    <row r="80" spans="2:18" x14ac:dyDescent="0.25">
      <c r="B80" s="104"/>
      <c r="C80" s="104"/>
      <c r="D80" s="104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04"/>
      <c r="Q80" s="104"/>
      <c r="R80" s="104"/>
    </row>
    <row r="81" spans="2:18" x14ac:dyDescent="0.25">
      <c r="B81" s="104" t="s">
        <v>15</v>
      </c>
      <c r="C81" s="137">
        <v>365</v>
      </c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04"/>
      <c r="Q81" s="104"/>
      <c r="R81" s="104"/>
    </row>
    <row r="82" spans="2:18" x14ac:dyDescent="0.25">
      <c r="B82" s="104" t="s">
        <v>348</v>
      </c>
      <c r="C82" s="244">
        <f>+C81*D78</f>
        <v>105.93579705295572</v>
      </c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04"/>
      <c r="Q82" s="104"/>
      <c r="R82" s="104"/>
    </row>
    <row r="83" spans="2:18" x14ac:dyDescent="0.25">
      <c r="B83" s="104" t="s">
        <v>259</v>
      </c>
      <c r="C83" s="137">
        <v>30</v>
      </c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04"/>
      <c r="Q83" s="104"/>
      <c r="R83" s="104"/>
    </row>
    <row r="84" spans="2:18" x14ac:dyDescent="0.25">
      <c r="B84" s="104" t="s">
        <v>332</v>
      </c>
      <c r="C84" s="281">
        <f>+C82/C83</f>
        <v>3.5311932350985242</v>
      </c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04"/>
      <c r="Q84" s="104"/>
      <c r="R84" s="104"/>
    </row>
    <row r="85" spans="2:18" x14ac:dyDescent="0.25">
      <c r="J85" s="267"/>
    </row>
  </sheetData>
  <mergeCells count="3">
    <mergeCell ref="B6:R6"/>
    <mergeCell ref="D7:O7"/>
    <mergeCell ref="P8:R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1C93-EB8C-4C3F-8BAA-FB58525D08B5}">
  <dimension ref="A6:N30"/>
  <sheetViews>
    <sheetView showGridLines="0" zoomScale="80" zoomScaleNormal="80" workbookViewId="0">
      <selection activeCell="D30" sqref="D30"/>
    </sheetView>
  </sheetViews>
  <sheetFormatPr baseColWidth="10" defaultColWidth="28" defaultRowHeight="15" x14ac:dyDescent="0.25"/>
  <cols>
    <col min="1" max="1" width="26.7109375" style="104" customWidth="1"/>
    <col min="2" max="3" width="10.7109375" style="137" bestFit="1" customWidth="1"/>
    <col min="4" max="4" width="11.7109375" style="137" customWidth="1"/>
    <col min="5" max="5" width="13.42578125" style="137" bestFit="1" customWidth="1"/>
    <col min="6" max="7" width="10.7109375" style="137" bestFit="1" customWidth="1"/>
    <col min="8" max="8" width="10.85546875" style="137" bestFit="1" customWidth="1"/>
    <col min="9" max="9" width="10.7109375" style="104" bestFit="1" customWidth="1"/>
    <col min="10" max="10" width="12.140625" style="104" bestFit="1" customWidth="1"/>
    <col min="11" max="11" width="10.7109375" style="104" bestFit="1" customWidth="1"/>
    <col min="12" max="12" width="11.42578125" style="104" bestFit="1" customWidth="1"/>
    <col min="13" max="13" width="11" style="104" bestFit="1" customWidth="1"/>
    <col min="14" max="14" width="10.7109375" style="104" bestFit="1" customWidth="1"/>
    <col min="15" max="16384" width="28" style="104"/>
  </cols>
  <sheetData>
    <row r="6" spans="1:14" x14ac:dyDescent="0.25">
      <c r="A6" s="224" t="s">
        <v>264</v>
      </c>
      <c r="B6" s="226" t="s">
        <v>149</v>
      </c>
      <c r="C6" s="226" t="s">
        <v>150</v>
      </c>
      <c r="D6" s="226" t="s">
        <v>151</v>
      </c>
      <c r="E6" s="226" t="s">
        <v>152</v>
      </c>
      <c r="F6" s="226" t="s">
        <v>153</v>
      </c>
      <c r="G6" s="226" t="s">
        <v>154</v>
      </c>
      <c r="H6" s="226" t="s">
        <v>155</v>
      </c>
      <c r="I6" s="226" t="s">
        <v>156</v>
      </c>
      <c r="J6" s="226" t="s">
        <v>157</v>
      </c>
      <c r="K6" s="226" t="s">
        <v>158</v>
      </c>
      <c r="L6" s="226" t="s">
        <v>159</v>
      </c>
      <c r="M6" s="226" t="s">
        <v>160</v>
      </c>
      <c r="N6" s="226" t="s">
        <v>11</v>
      </c>
    </row>
    <row r="7" spans="1:14" x14ac:dyDescent="0.25">
      <c r="A7" s="222" t="s">
        <v>266</v>
      </c>
      <c r="B7" s="227">
        <v>50000</v>
      </c>
      <c r="C7" s="227">
        <v>50000</v>
      </c>
      <c r="D7" s="227">
        <v>50000</v>
      </c>
      <c r="E7" s="227">
        <v>50000</v>
      </c>
      <c r="F7" s="227">
        <v>50000</v>
      </c>
      <c r="G7" s="227">
        <v>50000</v>
      </c>
      <c r="H7" s="227">
        <v>50000</v>
      </c>
      <c r="I7" s="227">
        <v>50000</v>
      </c>
      <c r="J7" s="227">
        <v>50000</v>
      </c>
      <c r="K7" s="227">
        <v>50000</v>
      </c>
      <c r="L7" s="227">
        <v>50000</v>
      </c>
      <c r="M7" s="227">
        <v>50000</v>
      </c>
      <c r="N7" s="227">
        <f>SUM(B7:M7)</f>
        <v>600000</v>
      </c>
    </row>
    <row r="8" spans="1:14" x14ac:dyDescent="0.25">
      <c r="A8" s="104" t="s">
        <v>267</v>
      </c>
      <c r="B8" s="228">
        <v>50000</v>
      </c>
      <c r="C8" s="228">
        <v>50000</v>
      </c>
      <c r="D8" s="228">
        <v>50000</v>
      </c>
      <c r="E8" s="228">
        <v>50000</v>
      </c>
      <c r="F8" s="228">
        <v>50000</v>
      </c>
      <c r="G8" s="228">
        <v>50000</v>
      </c>
      <c r="H8" s="228">
        <v>50000</v>
      </c>
      <c r="I8" s="228">
        <v>50000</v>
      </c>
      <c r="J8" s="228">
        <v>50000</v>
      </c>
      <c r="K8" s="228">
        <v>50000</v>
      </c>
      <c r="L8" s="228">
        <v>50000</v>
      </c>
      <c r="M8" s="228">
        <v>50000</v>
      </c>
      <c r="N8" s="228">
        <f t="shared" ref="N8:N12" si="0">SUM(B8:M8)</f>
        <v>600000</v>
      </c>
    </row>
    <row r="9" spans="1:14" x14ac:dyDescent="0.25">
      <c r="A9" s="104" t="s">
        <v>268</v>
      </c>
      <c r="B9" s="228">
        <v>50000</v>
      </c>
      <c r="C9" s="228">
        <v>50000</v>
      </c>
      <c r="D9" s="228">
        <v>50000</v>
      </c>
      <c r="E9" s="228">
        <v>50000</v>
      </c>
      <c r="F9" s="228">
        <v>50000</v>
      </c>
      <c r="G9" s="228">
        <v>50000</v>
      </c>
      <c r="H9" s="228">
        <v>50000</v>
      </c>
      <c r="I9" s="228">
        <v>50000</v>
      </c>
      <c r="J9" s="228">
        <v>50000</v>
      </c>
      <c r="K9" s="228">
        <v>50000</v>
      </c>
      <c r="L9" s="228">
        <v>50000</v>
      </c>
      <c r="M9" s="228">
        <v>50000</v>
      </c>
      <c r="N9" s="228">
        <f t="shared" si="0"/>
        <v>600000</v>
      </c>
    </row>
    <row r="10" spans="1:14" x14ac:dyDescent="0.25">
      <c r="A10" s="178" t="s">
        <v>269</v>
      </c>
      <c r="B10" s="228">
        <v>40000</v>
      </c>
      <c r="C10" s="228">
        <v>40000</v>
      </c>
      <c r="D10" s="228">
        <v>40000</v>
      </c>
      <c r="E10" s="228">
        <v>40000</v>
      </c>
      <c r="F10" s="228">
        <v>40000</v>
      </c>
      <c r="G10" s="228">
        <v>40000</v>
      </c>
      <c r="H10" s="228">
        <v>40000</v>
      </c>
      <c r="I10" s="228">
        <v>40000</v>
      </c>
      <c r="J10" s="228">
        <v>40000</v>
      </c>
      <c r="K10" s="228">
        <v>40000</v>
      </c>
      <c r="L10" s="228">
        <v>40000</v>
      </c>
      <c r="M10" s="228">
        <v>40000</v>
      </c>
      <c r="N10" s="228">
        <f t="shared" si="0"/>
        <v>480000</v>
      </c>
    </row>
    <row r="11" spans="1:14" x14ac:dyDescent="0.25">
      <c r="A11" s="178" t="s">
        <v>35</v>
      </c>
      <c r="B11" s="228">
        <v>80000</v>
      </c>
      <c r="C11" s="228">
        <v>80000</v>
      </c>
      <c r="D11" s="228">
        <v>80000</v>
      </c>
      <c r="E11" s="228">
        <v>80000</v>
      </c>
      <c r="F11" s="228">
        <v>80000</v>
      </c>
      <c r="G11" s="228">
        <v>80000</v>
      </c>
      <c r="H11" s="228">
        <v>80000</v>
      </c>
      <c r="I11" s="228">
        <v>80000</v>
      </c>
      <c r="J11" s="228">
        <v>80000</v>
      </c>
      <c r="K11" s="228">
        <v>80000</v>
      </c>
      <c r="L11" s="228">
        <v>80000</v>
      </c>
      <c r="M11" s="228">
        <v>80000</v>
      </c>
      <c r="N11" s="228">
        <f t="shared" si="0"/>
        <v>960000</v>
      </c>
    </row>
    <row r="12" spans="1:14" x14ac:dyDescent="0.25">
      <c r="A12" s="104" t="s">
        <v>90</v>
      </c>
      <c r="B12" s="228">
        <v>500000</v>
      </c>
      <c r="C12" s="228">
        <v>500000</v>
      </c>
      <c r="D12" s="228">
        <v>500000</v>
      </c>
      <c r="E12" s="228">
        <v>500000</v>
      </c>
      <c r="F12" s="228">
        <v>500000</v>
      </c>
      <c r="G12" s="228">
        <v>500000</v>
      </c>
      <c r="H12" s="228">
        <v>500000</v>
      </c>
      <c r="I12" s="228">
        <v>500000</v>
      </c>
      <c r="J12" s="228">
        <v>500000</v>
      </c>
      <c r="K12" s="228">
        <v>500000</v>
      </c>
      <c r="L12" s="228">
        <v>500000</v>
      </c>
      <c r="M12" s="228">
        <v>500000</v>
      </c>
      <c r="N12" s="228">
        <f t="shared" si="0"/>
        <v>6000000</v>
      </c>
    </row>
    <row r="13" spans="1:14" x14ac:dyDescent="0.25">
      <c r="A13" s="104" t="s">
        <v>342</v>
      </c>
      <c r="B13" s="228">
        <f>+Inversión!B27</f>
        <v>655126</v>
      </c>
      <c r="C13" s="228">
        <f>+B13</f>
        <v>655126</v>
      </c>
      <c r="D13" s="228">
        <f t="shared" ref="D13:N13" si="1">+C13</f>
        <v>655126</v>
      </c>
      <c r="E13" s="228">
        <f t="shared" si="1"/>
        <v>655126</v>
      </c>
      <c r="F13" s="228">
        <f t="shared" si="1"/>
        <v>655126</v>
      </c>
      <c r="G13" s="228">
        <f t="shared" si="1"/>
        <v>655126</v>
      </c>
      <c r="H13" s="228">
        <f t="shared" si="1"/>
        <v>655126</v>
      </c>
      <c r="I13" s="228">
        <f t="shared" si="1"/>
        <v>655126</v>
      </c>
      <c r="J13" s="228">
        <f t="shared" si="1"/>
        <v>655126</v>
      </c>
      <c r="K13" s="228">
        <f t="shared" si="1"/>
        <v>655126</v>
      </c>
      <c r="L13" s="228">
        <f t="shared" si="1"/>
        <v>655126</v>
      </c>
      <c r="M13" s="228">
        <f t="shared" si="1"/>
        <v>655126</v>
      </c>
      <c r="N13" s="228">
        <f t="shared" si="1"/>
        <v>655126</v>
      </c>
    </row>
    <row r="14" spans="1:14" x14ac:dyDescent="0.25"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</row>
    <row r="15" spans="1:14" x14ac:dyDescent="0.25"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</row>
    <row r="16" spans="1:14" x14ac:dyDescent="0.25">
      <c r="A16" s="225" t="s">
        <v>270</v>
      </c>
      <c r="B16" s="196">
        <f>SUM(B7:B15)</f>
        <v>1425126</v>
      </c>
      <c r="C16" s="196">
        <f t="shared" ref="C16:N16" si="2">SUM(C7:C15)</f>
        <v>1425126</v>
      </c>
      <c r="D16" s="196">
        <f t="shared" si="2"/>
        <v>1425126</v>
      </c>
      <c r="E16" s="196">
        <f t="shared" si="2"/>
        <v>1425126</v>
      </c>
      <c r="F16" s="196">
        <f t="shared" si="2"/>
        <v>1425126</v>
      </c>
      <c r="G16" s="196">
        <f t="shared" si="2"/>
        <v>1425126</v>
      </c>
      <c r="H16" s="196">
        <f t="shared" si="2"/>
        <v>1425126</v>
      </c>
      <c r="I16" s="196">
        <f t="shared" si="2"/>
        <v>1425126</v>
      </c>
      <c r="J16" s="196">
        <f t="shared" si="2"/>
        <v>1425126</v>
      </c>
      <c r="K16" s="196">
        <f t="shared" si="2"/>
        <v>1425126</v>
      </c>
      <c r="L16" s="196">
        <f t="shared" si="2"/>
        <v>1425126</v>
      </c>
      <c r="M16" s="196">
        <f t="shared" si="2"/>
        <v>1425126</v>
      </c>
      <c r="N16" s="196">
        <f t="shared" si="2"/>
        <v>9895126</v>
      </c>
    </row>
    <row r="20" spans="1:8" ht="29.25" x14ac:dyDescent="0.25">
      <c r="A20" s="282" t="s">
        <v>264</v>
      </c>
      <c r="B20" s="283" t="s">
        <v>265</v>
      </c>
      <c r="C20" s="283" t="s">
        <v>277</v>
      </c>
      <c r="D20" s="283" t="s">
        <v>278</v>
      </c>
      <c r="E20" s="283" t="s">
        <v>118</v>
      </c>
      <c r="F20" s="283" t="s">
        <v>275</v>
      </c>
      <c r="G20" s="283" t="s">
        <v>11</v>
      </c>
      <c r="H20" s="283" t="s">
        <v>279</v>
      </c>
    </row>
    <row r="21" spans="1:8" x14ac:dyDescent="0.25">
      <c r="A21" s="104" t="str">
        <f>+A7</f>
        <v>Agua</v>
      </c>
      <c r="B21" s="228">
        <f>+B7</f>
        <v>50000</v>
      </c>
      <c r="C21" s="228">
        <v>2</v>
      </c>
      <c r="D21" s="228">
        <f>+B21/C21</f>
        <v>25000</v>
      </c>
      <c r="E21" s="228">
        <f>+'Costo Prod 1'!$C$15</f>
        <v>1000</v>
      </c>
      <c r="F21" s="228">
        <f>+'Costo Prod 2'!$K$8</f>
        <v>1000</v>
      </c>
      <c r="G21" s="228">
        <f>+E21+F21</f>
        <v>2000</v>
      </c>
      <c r="H21" s="231">
        <f>+B21/G21</f>
        <v>25</v>
      </c>
    </row>
    <row r="22" spans="1:8" x14ac:dyDescent="0.25">
      <c r="A22" s="104" t="str">
        <f t="shared" ref="A22:B26" si="3">+A8</f>
        <v>Luz</v>
      </c>
      <c r="B22" s="228">
        <f t="shared" si="3"/>
        <v>50000</v>
      </c>
      <c r="C22" s="228">
        <v>2</v>
      </c>
      <c r="D22" s="228">
        <f t="shared" ref="D22:D26" si="4">+B22/C22</f>
        <v>25000</v>
      </c>
      <c r="E22" s="228">
        <f>+'Costo Prod 1'!$C$15</f>
        <v>1000</v>
      </c>
      <c r="F22" s="228">
        <f>+'Costo Prod 2'!$K$8</f>
        <v>1000</v>
      </c>
      <c r="G22" s="228">
        <f t="shared" ref="G22:G26" si="5">+E22+F22</f>
        <v>2000</v>
      </c>
      <c r="H22" s="231">
        <f t="shared" ref="H22:H26" si="6">+B22/G22</f>
        <v>25</v>
      </c>
    </row>
    <row r="23" spans="1:8" x14ac:dyDescent="0.25">
      <c r="A23" s="104" t="str">
        <f t="shared" si="3"/>
        <v>Gas</v>
      </c>
      <c r="B23" s="228">
        <f t="shared" si="3"/>
        <v>50000</v>
      </c>
      <c r="C23" s="228">
        <v>2</v>
      </c>
      <c r="D23" s="228">
        <f t="shared" si="4"/>
        <v>25000</v>
      </c>
      <c r="E23" s="228">
        <f>+'Costo Prod 1'!$C$15</f>
        <v>1000</v>
      </c>
      <c r="F23" s="228">
        <f>+'Costo Prod 2'!$K$8</f>
        <v>1000</v>
      </c>
      <c r="G23" s="228">
        <f t="shared" si="5"/>
        <v>2000</v>
      </c>
      <c r="H23" s="231">
        <f t="shared" si="6"/>
        <v>25</v>
      </c>
    </row>
    <row r="24" spans="1:8" x14ac:dyDescent="0.25">
      <c r="A24" s="178" t="str">
        <f t="shared" si="3"/>
        <v>Internet-Televisión-Telefonía</v>
      </c>
      <c r="B24" s="228">
        <f t="shared" si="3"/>
        <v>40000</v>
      </c>
      <c r="C24" s="228">
        <v>2</v>
      </c>
      <c r="D24" s="228">
        <f t="shared" si="4"/>
        <v>20000</v>
      </c>
      <c r="E24" s="228">
        <f>+'Costo Prod 1'!$C$15</f>
        <v>1000</v>
      </c>
      <c r="F24" s="228">
        <f>+'Costo Prod 2'!$K$8</f>
        <v>1000</v>
      </c>
      <c r="G24" s="228">
        <f t="shared" si="5"/>
        <v>2000</v>
      </c>
      <c r="H24" s="231">
        <f t="shared" si="6"/>
        <v>20</v>
      </c>
    </row>
    <row r="25" spans="1:8" x14ac:dyDescent="0.25">
      <c r="A25" s="178" t="str">
        <f t="shared" si="3"/>
        <v>Publicidad y Seguros</v>
      </c>
      <c r="B25" s="228">
        <f t="shared" si="3"/>
        <v>80000</v>
      </c>
      <c r="C25" s="228">
        <v>2</v>
      </c>
      <c r="D25" s="228">
        <f t="shared" si="4"/>
        <v>40000</v>
      </c>
      <c r="E25" s="228">
        <f>+'Costo Prod 1'!$C$15</f>
        <v>1000</v>
      </c>
      <c r="F25" s="228">
        <f>+'Costo Prod 2'!$K$8</f>
        <v>1000</v>
      </c>
      <c r="G25" s="228">
        <f t="shared" si="5"/>
        <v>2000</v>
      </c>
      <c r="H25" s="231">
        <f t="shared" si="6"/>
        <v>40</v>
      </c>
    </row>
    <row r="26" spans="1:8" x14ac:dyDescent="0.25">
      <c r="A26" s="104" t="str">
        <f>+A12</f>
        <v>Arriendo</v>
      </c>
      <c r="B26" s="228">
        <f t="shared" si="3"/>
        <v>500000</v>
      </c>
      <c r="C26" s="228">
        <v>2</v>
      </c>
      <c r="D26" s="228">
        <f t="shared" si="4"/>
        <v>250000</v>
      </c>
      <c r="E26" s="228">
        <f>+'Costo Prod 1'!$C$15</f>
        <v>1000</v>
      </c>
      <c r="F26" s="228">
        <f>+'Costo Prod 2'!$K$8</f>
        <v>1000</v>
      </c>
      <c r="G26" s="228">
        <f t="shared" si="5"/>
        <v>2000</v>
      </c>
      <c r="H26" s="231">
        <f t="shared" si="6"/>
        <v>250</v>
      </c>
    </row>
    <row r="27" spans="1:8" x14ac:dyDescent="0.25">
      <c r="A27" s="104" t="str">
        <f t="shared" ref="A27:B27" si="7">+A13</f>
        <v>Sueldo Cajera Administrativa</v>
      </c>
      <c r="B27" s="228">
        <f t="shared" si="7"/>
        <v>655126</v>
      </c>
      <c r="C27" s="228">
        <v>2</v>
      </c>
      <c r="D27" s="228">
        <f t="shared" ref="D27" si="8">+B27/C27</f>
        <v>327563</v>
      </c>
      <c r="E27" s="228">
        <f>+'Costo Prod 1'!$C$15</f>
        <v>1000</v>
      </c>
      <c r="F27" s="228">
        <f>+'Costo Prod 2'!$K$8</f>
        <v>1000</v>
      </c>
      <c r="G27" s="228">
        <f t="shared" ref="G27" si="9">+E27+F27</f>
        <v>2000</v>
      </c>
      <c r="H27" s="231">
        <f t="shared" ref="H27" si="10">+B27/G27</f>
        <v>327.56299999999999</v>
      </c>
    </row>
    <row r="28" spans="1:8" x14ac:dyDescent="0.25">
      <c r="B28" s="228"/>
      <c r="C28" s="228"/>
      <c r="D28" s="228"/>
      <c r="E28" s="228"/>
      <c r="F28" s="228"/>
      <c r="G28" s="228"/>
      <c r="H28" s="231"/>
    </row>
    <row r="29" spans="1:8" x14ac:dyDescent="0.25">
      <c r="B29" s="228"/>
      <c r="C29" s="228"/>
      <c r="D29" s="228"/>
      <c r="E29" s="228"/>
      <c r="F29" s="228"/>
      <c r="G29" s="228"/>
      <c r="H29" s="232"/>
    </row>
    <row r="30" spans="1:8" x14ac:dyDescent="0.25">
      <c r="A30" s="225" t="s">
        <v>270</v>
      </c>
      <c r="B30" s="196">
        <f>SUM(B21:B29)</f>
        <v>1425126</v>
      </c>
      <c r="C30" s="196"/>
      <c r="D30" s="196">
        <f>SUM(D21:D29)</f>
        <v>712563</v>
      </c>
      <c r="E30" s="196"/>
      <c r="F30" s="196"/>
      <c r="G30" s="196"/>
      <c r="H30" s="233">
        <f>SUM(H21:H29)</f>
        <v>712.56299999999999</v>
      </c>
    </row>
  </sheetData>
  <phoneticPr fontId="2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0706E-A62D-4EC4-A010-CCB3D6061589}">
  <dimension ref="A8:Q34"/>
  <sheetViews>
    <sheetView showGridLines="0" zoomScale="80" zoomScaleNormal="80" workbookViewId="0">
      <selection activeCell="R32" sqref="R32"/>
    </sheetView>
  </sheetViews>
  <sheetFormatPr baseColWidth="10" defaultRowHeight="15" x14ac:dyDescent="0.25"/>
  <cols>
    <col min="1" max="1" width="12" style="104" bestFit="1" customWidth="1"/>
    <col min="2" max="2" width="15.7109375" style="104" bestFit="1" customWidth="1"/>
    <col min="3" max="3" width="8.5703125" style="137" bestFit="1" customWidth="1"/>
    <col min="4" max="4" width="14.140625" style="104" bestFit="1" customWidth="1"/>
    <col min="5" max="5" width="10.28515625" style="154" customWidth="1"/>
    <col min="6" max="6" width="10.7109375" style="154" bestFit="1" customWidth="1"/>
    <col min="7" max="7" width="10.7109375" style="154" customWidth="1"/>
    <col min="8" max="9" width="11.42578125" style="104"/>
    <col min="10" max="10" width="9" style="201" bestFit="1" customWidth="1"/>
    <col min="11" max="11" width="11.42578125" style="104"/>
    <col min="12" max="12" width="17.7109375" style="104" bestFit="1" customWidth="1"/>
    <col min="13" max="13" width="9" style="201" bestFit="1" customWidth="1"/>
    <col min="14" max="14" width="6.85546875" style="201" bestFit="1" customWidth="1"/>
    <col min="15" max="15" width="7.85546875" style="211" bestFit="1" customWidth="1"/>
    <col min="16" max="16" width="6.7109375" style="104" customWidth="1"/>
    <col min="17" max="17" width="13.42578125" style="230" bestFit="1" customWidth="1"/>
    <col min="18" max="16384" width="11.42578125" style="104"/>
  </cols>
  <sheetData>
    <row r="8" spans="1:17" ht="15.75" x14ac:dyDescent="0.25">
      <c r="A8" s="190" t="s">
        <v>283</v>
      </c>
      <c r="B8" s="155"/>
      <c r="C8" s="191"/>
      <c r="D8" s="155"/>
      <c r="E8" s="170"/>
      <c r="F8" s="170"/>
      <c r="G8" s="243" t="s">
        <v>8</v>
      </c>
      <c r="H8" s="243"/>
      <c r="J8" s="198" t="s">
        <v>235</v>
      </c>
      <c r="L8" s="53" t="s">
        <v>117</v>
      </c>
      <c r="M8" s="204" t="s">
        <v>230</v>
      </c>
      <c r="N8" s="205" t="s">
        <v>84</v>
      </c>
      <c r="O8" s="206" t="s">
        <v>84</v>
      </c>
      <c r="Q8" s="229" t="s">
        <v>117</v>
      </c>
    </row>
    <row r="9" spans="1:17" ht="15.75" x14ac:dyDescent="0.25">
      <c r="A9" s="155" t="s">
        <v>8</v>
      </c>
      <c r="B9" s="155" t="s">
        <v>225</v>
      </c>
      <c r="C9" s="191" t="s">
        <v>230</v>
      </c>
      <c r="D9" s="155" t="s">
        <v>231</v>
      </c>
      <c r="E9" s="170" t="s">
        <v>226</v>
      </c>
      <c r="F9" s="170" t="s">
        <v>83</v>
      </c>
      <c r="G9" s="243" t="s">
        <v>281</v>
      </c>
      <c r="H9" s="243" t="s">
        <v>282</v>
      </c>
      <c r="J9" s="198" t="s">
        <v>230</v>
      </c>
      <c r="L9" s="21" t="str">
        <f>+B10</f>
        <v>Café Instantaneo</v>
      </c>
      <c r="M9" s="207">
        <v>10</v>
      </c>
      <c r="N9" s="203">
        <f>+J10</f>
        <v>18</v>
      </c>
      <c r="O9" s="208">
        <f>+M9*N9</f>
        <v>180</v>
      </c>
      <c r="Q9" s="230">
        <f>+D10/M9</f>
        <v>2000</v>
      </c>
    </row>
    <row r="10" spans="1:17" ht="15.75" x14ac:dyDescent="0.25">
      <c r="A10" s="192">
        <v>20</v>
      </c>
      <c r="B10" s="104" t="s">
        <v>227</v>
      </c>
      <c r="C10" s="193">
        <v>1000</v>
      </c>
      <c r="D10" s="193">
        <f>+A10*C10</f>
        <v>20000</v>
      </c>
      <c r="E10" s="193">
        <v>18000</v>
      </c>
      <c r="F10" s="193">
        <f>+E10*A10</f>
        <v>360000</v>
      </c>
      <c r="G10" s="193">
        <v>2</v>
      </c>
      <c r="H10" s="193">
        <f>+F10/G10</f>
        <v>180000</v>
      </c>
      <c r="J10" s="199">
        <f>+E10/C10</f>
        <v>18</v>
      </c>
      <c r="L10" s="10" t="str">
        <f>+B11</f>
        <v>Azucar</v>
      </c>
      <c r="M10" s="203">
        <v>5</v>
      </c>
      <c r="N10" s="203">
        <f>+J11</f>
        <v>1</v>
      </c>
      <c r="O10" s="209">
        <f>+M10*N10</f>
        <v>5</v>
      </c>
      <c r="Q10" s="230">
        <f>+D11/M10</f>
        <v>2000</v>
      </c>
    </row>
    <row r="11" spans="1:17" ht="15.75" x14ac:dyDescent="0.25">
      <c r="A11" s="192">
        <v>10</v>
      </c>
      <c r="B11" s="104" t="s">
        <v>234</v>
      </c>
      <c r="C11" s="193">
        <v>1000</v>
      </c>
      <c r="D11" s="193">
        <f>+A11*C11</f>
        <v>10000</v>
      </c>
      <c r="E11" s="193">
        <v>1000</v>
      </c>
      <c r="F11" s="193">
        <f>+E11*A11</f>
        <v>10000</v>
      </c>
      <c r="G11" s="193">
        <v>2</v>
      </c>
      <c r="H11" s="193">
        <f t="shared" ref="H11" si="0">+F11/G11</f>
        <v>5000</v>
      </c>
      <c r="J11" s="199">
        <f>+E11/C11</f>
        <v>1</v>
      </c>
      <c r="L11" s="10"/>
      <c r="M11" s="203"/>
      <c r="N11" s="203"/>
      <c r="O11" s="209"/>
    </row>
    <row r="12" spans="1:17" x14ac:dyDescent="0.25">
      <c r="A12" s="192"/>
      <c r="C12" s="193"/>
      <c r="E12" s="193"/>
      <c r="F12" s="193"/>
      <c r="G12" s="193"/>
      <c r="H12" s="193"/>
      <c r="J12" s="199"/>
      <c r="L12" s="202" t="s">
        <v>11</v>
      </c>
      <c r="M12" s="200">
        <f>SUM(M9:M11)</f>
        <v>15</v>
      </c>
      <c r="N12" s="200">
        <f t="shared" ref="N12:O12" si="1">SUM(N9:N11)</f>
        <v>19</v>
      </c>
      <c r="O12" s="210">
        <f t="shared" si="1"/>
        <v>185</v>
      </c>
      <c r="Q12" s="104"/>
    </row>
    <row r="13" spans="1:17" x14ac:dyDescent="0.25">
      <c r="A13" s="192"/>
      <c r="C13" s="193"/>
      <c r="E13" s="193"/>
      <c r="F13" s="193"/>
      <c r="G13" s="193"/>
      <c r="H13" s="193"/>
      <c r="J13" s="199"/>
    </row>
    <row r="14" spans="1:17" x14ac:dyDescent="0.25">
      <c r="A14" s="192"/>
      <c r="C14" s="193"/>
      <c r="E14" s="193"/>
      <c r="F14" s="193"/>
      <c r="G14" s="193"/>
      <c r="H14" s="193"/>
      <c r="J14" s="199"/>
    </row>
    <row r="15" spans="1:17" x14ac:dyDescent="0.25">
      <c r="A15" s="194">
        <f>SUM(A10:A14)</f>
        <v>30</v>
      </c>
      <c r="B15" s="195" t="s">
        <v>11</v>
      </c>
      <c r="C15" s="197">
        <f t="shared" ref="C15:D15" si="2">SUM(C10:C14)</f>
        <v>2000</v>
      </c>
      <c r="D15" s="197">
        <f t="shared" si="2"/>
        <v>30000</v>
      </c>
      <c r="E15" s="197">
        <f>SUM(E10:E14)</f>
        <v>19000</v>
      </c>
      <c r="F15" s="197">
        <f>SUM(F10:F14)</f>
        <v>370000</v>
      </c>
      <c r="G15" s="197"/>
      <c r="H15" s="197">
        <f>SUM(H10:H14)</f>
        <v>185000</v>
      </c>
      <c r="J15" s="200">
        <f>SUM(J10:J14)</f>
        <v>19</v>
      </c>
    </row>
    <row r="18" spans="1:17" ht="15.75" x14ac:dyDescent="0.25">
      <c r="A18" s="190" t="s">
        <v>283</v>
      </c>
      <c r="B18" s="155"/>
      <c r="C18" s="191"/>
      <c r="D18" s="155"/>
      <c r="E18" s="170"/>
      <c r="F18" s="170"/>
      <c r="G18" s="243" t="s">
        <v>8</v>
      </c>
      <c r="H18" s="243"/>
      <c r="J18" s="198" t="s">
        <v>235</v>
      </c>
      <c r="L18" s="53" t="s">
        <v>117</v>
      </c>
      <c r="M18" s="204" t="s">
        <v>236</v>
      </c>
      <c r="N18" s="205" t="s">
        <v>84</v>
      </c>
      <c r="O18" s="206" t="s">
        <v>84</v>
      </c>
      <c r="Q18" s="229" t="s">
        <v>117</v>
      </c>
    </row>
    <row r="19" spans="1:17" ht="15.75" x14ac:dyDescent="0.25">
      <c r="A19" s="155" t="s">
        <v>8</v>
      </c>
      <c r="B19" s="155" t="s">
        <v>225</v>
      </c>
      <c r="C19" s="191" t="s">
        <v>232</v>
      </c>
      <c r="D19" s="155" t="s">
        <v>229</v>
      </c>
      <c r="E19" s="170" t="s">
        <v>226</v>
      </c>
      <c r="F19" s="170" t="s">
        <v>83</v>
      </c>
      <c r="G19" s="243" t="s">
        <v>281</v>
      </c>
      <c r="H19" s="243" t="s">
        <v>282</v>
      </c>
      <c r="J19" s="198" t="s">
        <v>236</v>
      </c>
      <c r="L19" s="10" t="str">
        <f>+B20</f>
        <v>Leche</v>
      </c>
      <c r="M19" s="203">
        <v>200</v>
      </c>
      <c r="N19" s="203">
        <f>+J20</f>
        <v>1</v>
      </c>
      <c r="O19" s="208">
        <f>+M19*N19</f>
        <v>200</v>
      </c>
      <c r="Q19" s="230">
        <f>+D20/M19</f>
        <v>1000</v>
      </c>
    </row>
    <row r="20" spans="1:17" ht="15.75" x14ac:dyDescent="0.25">
      <c r="A20" s="192">
        <v>200</v>
      </c>
      <c r="B20" s="104" t="s">
        <v>228</v>
      </c>
      <c r="C20" s="193">
        <v>1000</v>
      </c>
      <c r="D20" s="193">
        <f>+A20*C20</f>
        <v>200000</v>
      </c>
      <c r="E20" s="193">
        <v>1000</v>
      </c>
      <c r="F20" s="193">
        <f t="shared" ref="F20" si="3">+A20*E20</f>
        <v>200000</v>
      </c>
      <c r="G20" s="193">
        <v>2</v>
      </c>
      <c r="H20" s="193">
        <f>+F20/G20</f>
        <v>100000</v>
      </c>
      <c r="J20" s="199">
        <f>+C20/E20</f>
        <v>1</v>
      </c>
      <c r="L20" s="10" t="str">
        <f>+B21</f>
        <v>Endulzantes</v>
      </c>
      <c r="M20" s="203">
        <v>5</v>
      </c>
      <c r="N20" s="203">
        <f>+J21</f>
        <v>0.125</v>
      </c>
      <c r="O20" s="209">
        <f>+M20*N20</f>
        <v>0.625</v>
      </c>
      <c r="Q20" s="230">
        <f>+D21/M20</f>
        <v>2000</v>
      </c>
    </row>
    <row r="21" spans="1:17" ht="15.75" x14ac:dyDescent="0.25">
      <c r="A21" s="192">
        <v>20</v>
      </c>
      <c r="B21" s="104" t="s">
        <v>233</v>
      </c>
      <c r="C21" s="193">
        <v>500</v>
      </c>
      <c r="D21" s="193">
        <f>+A21*C21</f>
        <v>10000</v>
      </c>
      <c r="E21" s="193">
        <v>4000</v>
      </c>
      <c r="F21" s="193">
        <f t="shared" ref="F21" si="4">+A21*E21</f>
        <v>80000</v>
      </c>
      <c r="G21" s="193">
        <v>2</v>
      </c>
      <c r="H21" s="193">
        <f t="shared" ref="H21" si="5">+F21/G21</f>
        <v>40000</v>
      </c>
      <c r="J21" s="199">
        <f>+C21/E21</f>
        <v>0.125</v>
      </c>
      <c r="L21" s="10"/>
      <c r="M21" s="203"/>
      <c r="N21" s="203"/>
      <c r="O21" s="209"/>
    </row>
    <row r="22" spans="1:17" x14ac:dyDescent="0.25">
      <c r="A22" s="192"/>
      <c r="C22" s="193"/>
      <c r="E22" s="193"/>
      <c r="F22" s="193"/>
      <c r="G22" s="193"/>
      <c r="J22" s="199"/>
      <c r="L22" s="202" t="s">
        <v>11</v>
      </c>
      <c r="M22" s="200">
        <f>SUM(M19:M21)</f>
        <v>205</v>
      </c>
      <c r="N22" s="200">
        <f t="shared" ref="N22" si="6">SUM(N19:N21)</f>
        <v>1.125</v>
      </c>
      <c r="O22" s="210">
        <f t="shared" ref="O22" si="7">SUM(O19:O21)</f>
        <v>200.625</v>
      </c>
      <c r="Q22" s="104"/>
    </row>
    <row r="23" spans="1:17" x14ac:dyDescent="0.25">
      <c r="A23" s="192"/>
      <c r="C23" s="193"/>
      <c r="E23" s="193"/>
      <c r="F23" s="193"/>
      <c r="G23" s="193"/>
      <c r="J23" s="199"/>
    </row>
    <row r="24" spans="1:17" x14ac:dyDescent="0.25">
      <c r="A24" s="194">
        <f>SUM(A20:A23)</f>
        <v>220</v>
      </c>
      <c r="B24" s="195" t="s">
        <v>11</v>
      </c>
      <c r="C24" s="197">
        <f t="shared" ref="C24:D24" si="8">SUM(C20:C23)</f>
        <v>1500</v>
      </c>
      <c r="D24" s="197">
        <f t="shared" si="8"/>
        <v>210000</v>
      </c>
      <c r="E24" s="197">
        <f>SUM(E20:E23)</f>
        <v>5000</v>
      </c>
      <c r="F24" s="197">
        <f>SUM(F20:F23)</f>
        <v>280000</v>
      </c>
      <c r="G24" s="197"/>
      <c r="H24" s="197">
        <f t="shared" ref="H24" si="9">SUM(H20:H23)</f>
        <v>140000</v>
      </c>
      <c r="J24" s="200">
        <f>SUM(J19:J23)</f>
        <v>1.125</v>
      </c>
    </row>
    <row r="28" spans="1:17" ht="15.75" x14ac:dyDescent="0.25">
      <c r="A28" s="190" t="s">
        <v>284</v>
      </c>
      <c r="B28" s="155"/>
      <c r="C28" s="191"/>
      <c r="D28" s="155"/>
      <c r="E28" s="170"/>
      <c r="F28" s="170"/>
      <c r="G28" s="243" t="s">
        <v>8</v>
      </c>
      <c r="H28" s="243"/>
      <c r="J28" s="198" t="s">
        <v>235</v>
      </c>
      <c r="L28" s="53" t="s">
        <v>117</v>
      </c>
      <c r="M28" s="204" t="s">
        <v>237</v>
      </c>
      <c r="N28" s="205" t="s">
        <v>84</v>
      </c>
      <c r="O28" s="206" t="s">
        <v>84</v>
      </c>
      <c r="Q28" s="229" t="s">
        <v>117</v>
      </c>
    </row>
    <row r="29" spans="1:17" ht="15.75" x14ac:dyDescent="0.25">
      <c r="A29" s="155" t="s">
        <v>8</v>
      </c>
      <c r="B29" s="155" t="s">
        <v>225</v>
      </c>
      <c r="C29" s="191" t="s">
        <v>237</v>
      </c>
      <c r="D29" s="155" t="s">
        <v>11</v>
      </c>
      <c r="E29" s="170" t="s">
        <v>226</v>
      </c>
      <c r="F29" s="170" t="s">
        <v>83</v>
      </c>
      <c r="G29" s="243" t="s">
        <v>281</v>
      </c>
      <c r="H29" s="243" t="s">
        <v>282</v>
      </c>
      <c r="J29" s="198" t="s">
        <v>237</v>
      </c>
      <c r="L29" s="10" t="str">
        <f>+B30</f>
        <v>Vase Desechable</v>
      </c>
      <c r="M29" s="203">
        <v>1</v>
      </c>
      <c r="N29" s="203">
        <f>+J30</f>
        <v>40</v>
      </c>
      <c r="O29" s="208">
        <f>+M29*N29</f>
        <v>40</v>
      </c>
      <c r="Q29" s="230">
        <f>+D30/M29</f>
        <v>2000</v>
      </c>
    </row>
    <row r="30" spans="1:17" ht="15.75" x14ac:dyDescent="0.25">
      <c r="A30" s="192">
        <v>20</v>
      </c>
      <c r="B30" s="104" t="s">
        <v>238</v>
      </c>
      <c r="C30" s="193">
        <v>100</v>
      </c>
      <c r="D30" s="193">
        <f>+A30*C30</f>
        <v>2000</v>
      </c>
      <c r="E30" s="193">
        <v>4000</v>
      </c>
      <c r="F30" s="193">
        <f t="shared" ref="F30:F31" si="10">+A30*E30</f>
        <v>80000</v>
      </c>
      <c r="G30" s="193">
        <v>2</v>
      </c>
      <c r="H30" s="193">
        <f>+F30/G30</f>
        <v>40000</v>
      </c>
      <c r="J30" s="199">
        <f>+E30/C30</f>
        <v>40</v>
      </c>
      <c r="L30" s="10" t="str">
        <f>+B31</f>
        <v>Servilletas</v>
      </c>
      <c r="M30" s="203">
        <v>1</v>
      </c>
      <c r="N30" s="203">
        <f>+J31</f>
        <v>20</v>
      </c>
      <c r="O30" s="209">
        <f>+M30*N30</f>
        <v>20</v>
      </c>
      <c r="Q30" s="230">
        <f>+D31/M30</f>
        <v>2000</v>
      </c>
    </row>
    <row r="31" spans="1:17" ht="15.75" x14ac:dyDescent="0.25">
      <c r="A31" s="192">
        <v>20</v>
      </c>
      <c r="B31" s="104" t="s">
        <v>239</v>
      </c>
      <c r="C31" s="193">
        <v>100</v>
      </c>
      <c r="D31" s="193">
        <f>+A31*C31</f>
        <v>2000</v>
      </c>
      <c r="E31" s="193">
        <v>2000</v>
      </c>
      <c r="F31" s="193">
        <f t="shared" si="10"/>
        <v>40000</v>
      </c>
      <c r="G31" s="193">
        <v>2</v>
      </c>
      <c r="H31" s="193">
        <f t="shared" ref="H31" si="11">+F31/G31</f>
        <v>20000</v>
      </c>
      <c r="J31" s="199">
        <f>+E31/C31</f>
        <v>20</v>
      </c>
      <c r="L31" s="10" t="str">
        <f t="shared" ref="L31" si="12">+B32</f>
        <v>Cucharitas</v>
      </c>
      <c r="M31" s="203">
        <v>1</v>
      </c>
      <c r="N31" s="203">
        <f t="shared" ref="N31" si="13">+J32</f>
        <v>40</v>
      </c>
      <c r="O31" s="209">
        <f t="shared" ref="O31" si="14">+M31*N31</f>
        <v>40</v>
      </c>
      <c r="Q31" s="230">
        <f>+D32/M31</f>
        <v>2000</v>
      </c>
    </row>
    <row r="32" spans="1:17" ht="15.75" x14ac:dyDescent="0.25">
      <c r="A32" s="192">
        <v>20</v>
      </c>
      <c r="B32" s="104" t="s">
        <v>240</v>
      </c>
      <c r="C32" s="193">
        <v>100</v>
      </c>
      <c r="D32" s="193">
        <f t="shared" ref="D32" si="15">+A32*C32</f>
        <v>2000</v>
      </c>
      <c r="E32" s="193">
        <v>4000</v>
      </c>
      <c r="F32" s="193">
        <f t="shared" ref="F32" si="16">+A32*E32</f>
        <v>80000</v>
      </c>
      <c r="G32" s="193">
        <v>2</v>
      </c>
      <c r="H32" s="193">
        <f t="shared" ref="H32" si="17">+F32/G32</f>
        <v>40000</v>
      </c>
      <c r="J32" s="199">
        <f>+E32/C32</f>
        <v>40</v>
      </c>
      <c r="L32" s="10"/>
      <c r="M32" s="203"/>
      <c r="N32" s="203"/>
      <c r="O32" s="209"/>
    </row>
    <row r="33" spans="1:17" ht="15.75" x14ac:dyDescent="0.25">
      <c r="A33" s="192"/>
      <c r="C33" s="193"/>
      <c r="E33" s="193"/>
      <c r="F33" s="193"/>
      <c r="G33" s="193"/>
      <c r="J33" s="199"/>
      <c r="L33" s="10"/>
      <c r="M33" s="203"/>
      <c r="N33" s="203"/>
      <c r="O33" s="209"/>
    </row>
    <row r="34" spans="1:17" x14ac:dyDescent="0.25">
      <c r="A34" s="194">
        <f>SUM(A30:A33)</f>
        <v>60</v>
      </c>
      <c r="B34" s="195" t="s">
        <v>11</v>
      </c>
      <c r="C34" s="197">
        <f>SUM(C30:C33)</f>
        <v>300</v>
      </c>
      <c r="D34" s="197">
        <f>SUM(D30:D33)</f>
        <v>6000</v>
      </c>
      <c r="E34" s="197">
        <f>SUM(E30:E33)</f>
        <v>10000</v>
      </c>
      <c r="F34" s="197">
        <f>SUM(F30:F33)</f>
        <v>200000</v>
      </c>
      <c r="G34" s="197"/>
      <c r="H34" s="197">
        <f t="shared" ref="H34" si="18">SUM(H30:H33)</f>
        <v>100000</v>
      </c>
      <c r="J34" s="200">
        <f>SUM(J29:J33)</f>
        <v>100</v>
      </c>
      <c r="L34" s="202" t="s">
        <v>11</v>
      </c>
      <c r="M34" s="200">
        <f>SUM(M29:M31)</f>
        <v>3</v>
      </c>
      <c r="N34" s="200">
        <f>SUM(N29:N31)</f>
        <v>100</v>
      </c>
      <c r="O34" s="210">
        <f>SUM(O29:O31)</f>
        <v>100</v>
      </c>
      <c r="Q34" s="10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9365-2746-457B-8DE2-51AC5DB7B8F9}">
  <dimension ref="A6:AC26"/>
  <sheetViews>
    <sheetView showGridLines="0" topLeftCell="E1" zoomScale="80" zoomScaleNormal="80" workbookViewId="0">
      <pane ySplit="6" topLeftCell="A7" activePane="bottomLeft" state="frozen"/>
      <selection pane="bottomLeft" activeCell="AC15" sqref="AC15"/>
    </sheetView>
  </sheetViews>
  <sheetFormatPr baseColWidth="10" defaultColWidth="39.5703125" defaultRowHeight="15" x14ac:dyDescent="0.25"/>
  <cols>
    <col min="1" max="1" width="22.85546875" style="104" bestFit="1" customWidth="1"/>
    <col min="2" max="2" width="5.5703125" style="104" bestFit="1" customWidth="1"/>
    <col min="3" max="3" width="6.7109375" style="104" bestFit="1" customWidth="1"/>
    <col min="4" max="4" width="9.28515625" style="146" bestFit="1" customWidth="1"/>
    <col min="5" max="5" width="5.85546875" style="146" bestFit="1" customWidth="1"/>
    <col min="6" max="6" width="11.42578125" style="146" customWidth="1"/>
    <col min="7" max="7" width="9.42578125" style="146" customWidth="1"/>
    <col min="8" max="8" width="13.140625" style="147" customWidth="1"/>
    <col min="9" max="9" width="10.140625" style="147" customWidth="1"/>
    <col min="10" max="10" width="9.28515625" style="147" customWidth="1"/>
    <col min="11" max="11" width="9.7109375" style="147" customWidth="1"/>
    <col min="12" max="12" width="9.5703125" style="147" bestFit="1" customWidth="1"/>
    <col min="13" max="13" width="11.28515625" style="147" bestFit="1" customWidth="1"/>
    <col min="14" max="14" width="8.42578125" style="147" bestFit="1" customWidth="1"/>
    <col min="15" max="15" width="10.42578125" style="147" customWidth="1"/>
    <col min="16" max="19" width="8.42578125" style="147" bestFit="1" customWidth="1"/>
    <col min="20" max="20" width="11.7109375" style="147" bestFit="1" customWidth="1"/>
    <col min="21" max="21" width="8.7109375" style="147" bestFit="1" customWidth="1"/>
    <col min="22" max="22" width="11.42578125" style="147" bestFit="1" customWidth="1"/>
    <col min="23" max="23" width="10.7109375" style="147" bestFit="1" customWidth="1"/>
    <col min="24" max="24" width="17.140625" style="147" customWidth="1"/>
    <col min="25" max="25" width="11.7109375" style="147" bestFit="1" customWidth="1"/>
    <col min="26" max="26" width="14.140625" style="104" customWidth="1"/>
    <col min="27" max="27" width="13.5703125" style="104" bestFit="1" customWidth="1"/>
    <col min="28" max="28" width="9.85546875" style="104" bestFit="1" customWidth="1"/>
    <col min="29" max="29" width="10.5703125" style="104" bestFit="1" customWidth="1"/>
    <col min="30" max="16384" width="39.5703125" style="104"/>
  </cols>
  <sheetData>
    <row r="6" spans="1:29" ht="28.5" x14ac:dyDescent="0.25">
      <c r="A6" s="142" t="s">
        <v>140</v>
      </c>
      <c r="B6" s="142" t="s">
        <v>163</v>
      </c>
      <c r="C6" s="142" t="s">
        <v>164</v>
      </c>
      <c r="D6" s="142" t="s">
        <v>8</v>
      </c>
      <c r="E6" s="142" t="s">
        <v>146</v>
      </c>
      <c r="F6" s="143" t="s">
        <v>147</v>
      </c>
      <c r="G6" s="143" t="s">
        <v>148</v>
      </c>
      <c r="H6" s="145" t="s">
        <v>141</v>
      </c>
      <c r="I6" s="145" t="s">
        <v>162</v>
      </c>
      <c r="J6" s="145" t="s">
        <v>142</v>
      </c>
      <c r="K6" s="145" t="s">
        <v>143</v>
      </c>
      <c r="L6" s="145" t="s">
        <v>149</v>
      </c>
      <c r="M6" s="145" t="s">
        <v>150</v>
      </c>
      <c r="N6" s="145" t="s">
        <v>151</v>
      </c>
      <c r="O6" s="145" t="s">
        <v>152</v>
      </c>
      <c r="P6" s="145" t="s">
        <v>153</v>
      </c>
      <c r="Q6" s="145" t="s">
        <v>154</v>
      </c>
      <c r="R6" s="145" t="s">
        <v>155</v>
      </c>
      <c r="S6" s="145" t="s">
        <v>156</v>
      </c>
      <c r="T6" s="145" t="s">
        <v>157</v>
      </c>
      <c r="U6" s="145" t="s">
        <v>158</v>
      </c>
      <c r="V6" s="145" t="s">
        <v>159</v>
      </c>
      <c r="W6" s="145" t="s">
        <v>160</v>
      </c>
      <c r="X6" s="145" t="s">
        <v>144</v>
      </c>
      <c r="Y6" s="145" t="s">
        <v>145</v>
      </c>
      <c r="Z6" s="145" t="s">
        <v>296</v>
      </c>
      <c r="AA6" s="145" t="s">
        <v>297</v>
      </c>
      <c r="AB6" s="145" t="s">
        <v>8</v>
      </c>
      <c r="AC6" s="145" t="s">
        <v>226</v>
      </c>
    </row>
    <row r="7" spans="1:29" x14ac:dyDescent="0.25">
      <c r="A7" s="141" t="s">
        <v>137</v>
      </c>
      <c r="B7" s="141"/>
      <c r="C7" s="141"/>
      <c r="D7" s="146">
        <v>1</v>
      </c>
      <c r="E7" s="146">
        <v>6</v>
      </c>
      <c r="F7" s="146">
        <v>12</v>
      </c>
      <c r="G7" s="146">
        <f>+E7*F7</f>
        <v>72</v>
      </c>
      <c r="H7" s="147">
        <v>98979.1</v>
      </c>
      <c r="I7" s="147">
        <f>+H7/G7</f>
        <v>1374.7097222222224</v>
      </c>
      <c r="J7" s="148">
        <f>+COUNT(L7:W7)</f>
        <v>12</v>
      </c>
      <c r="K7" s="148">
        <f>+G7-J7</f>
        <v>60</v>
      </c>
      <c r="L7" s="149">
        <f>+I7</f>
        <v>1374.7097222222224</v>
      </c>
      <c r="M7" s="149">
        <f t="shared" ref="M7:R11" si="0">+L7</f>
        <v>1374.7097222222224</v>
      </c>
      <c r="N7" s="149">
        <f t="shared" si="0"/>
        <v>1374.7097222222224</v>
      </c>
      <c r="O7" s="149">
        <f t="shared" si="0"/>
        <v>1374.7097222222224</v>
      </c>
      <c r="P7" s="149">
        <f t="shared" si="0"/>
        <v>1374.7097222222224</v>
      </c>
      <c r="Q7" s="149">
        <f t="shared" si="0"/>
        <v>1374.7097222222224</v>
      </c>
      <c r="R7" s="149">
        <f t="shared" si="0"/>
        <v>1374.7097222222224</v>
      </c>
      <c r="S7" s="149">
        <f t="shared" ref="S7:W7" si="1">+R7</f>
        <v>1374.7097222222224</v>
      </c>
      <c r="T7" s="149">
        <f t="shared" si="1"/>
        <v>1374.7097222222224</v>
      </c>
      <c r="U7" s="149">
        <f t="shared" si="1"/>
        <v>1374.7097222222224</v>
      </c>
      <c r="V7" s="149">
        <f t="shared" si="1"/>
        <v>1374.7097222222224</v>
      </c>
      <c r="W7" s="149">
        <f t="shared" si="1"/>
        <v>1374.7097222222224</v>
      </c>
      <c r="X7" s="147">
        <f>SUM(L7:W7)</f>
        <v>16496.516666666666</v>
      </c>
      <c r="Y7" s="147">
        <f>+H7-X7</f>
        <v>82482.583333333343</v>
      </c>
      <c r="Z7" s="147">
        <v>2</v>
      </c>
      <c r="AA7" s="147">
        <f>+I7/Z7</f>
        <v>687.35486111111118</v>
      </c>
      <c r="AB7" s="147">
        <f>+Inversión!F13+Inversión!F14</f>
        <v>2000</v>
      </c>
      <c r="AC7" s="147">
        <f>+I7/AB7</f>
        <v>0.68735486111111121</v>
      </c>
    </row>
    <row r="8" spans="1:29" x14ac:dyDescent="0.25">
      <c r="A8" s="141" t="s">
        <v>138</v>
      </c>
      <c r="B8" s="141"/>
      <c r="C8" s="141"/>
      <c r="D8" s="146">
        <v>1</v>
      </c>
      <c r="E8" s="146">
        <v>6</v>
      </c>
      <c r="F8" s="146">
        <v>12</v>
      </c>
      <c r="G8" s="146">
        <f t="shared" ref="G8:G11" si="2">+E8*F8</f>
        <v>72</v>
      </c>
      <c r="H8" s="147">
        <v>450000</v>
      </c>
      <c r="I8" s="147">
        <f t="shared" ref="I8:I11" si="3">+H8/G8</f>
        <v>6250</v>
      </c>
      <c r="J8" s="148">
        <f>+COUNT(L8:W8)</f>
        <v>12</v>
      </c>
      <c r="K8" s="148">
        <f t="shared" ref="K8:K11" si="4">+G8-J8</f>
        <v>60</v>
      </c>
      <c r="L8" s="149">
        <f t="shared" ref="L8:L11" si="5">+I8</f>
        <v>6250</v>
      </c>
      <c r="M8" s="149">
        <f t="shared" si="0"/>
        <v>6250</v>
      </c>
      <c r="N8" s="149">
        <f t="shared" si="0"/>
        <v>6250</v>
      </c>
      <c r="O8" s="149">
        <f t="shared" si="0"/>
        <v>6250</v>
      </c>
      <c r="P8" s="149">
        <f t="shared" si="0"/>
        <v>6250</v>
      </c>
      <c r="Q8" s="149">
        <f t="shared" si="0"/>
        <v>6250</v>
      </c>
      <c r="R8" s="149">
        <f t="shared" si="0"/>
        <v>6250</v>
      </c>
      <c r="S8" s="149">
        <f t="shared" ref="S8:W8" si="6">+R8</f>
        <v>6250</v>
      </c>
      <c r="T8" s="149">
        <f t="shared" si="6"/>
        <v>6250</v>
      </c>
      <c r="U8" s="149">
        <f t="shared" si="6"/>
        <v>6250</v>
      </c>
      <c r="V8" s="149">
        <f t="shared" si="6"/>
        <v>6250</v>
      </c>
      <c r="W8" s="149">
        <f t="shared" si="6"/>
        <v>6250</v>
      </c>
      <c r="X8" s="147">
        <f>SUM(L8:W8)</f>
        <v>75000</v>
      </c>
      <c r="Y8" s="147">
        <f>+H8-X8</f>
        <v>375000</v>
      </c>
      <c r="Z8" s="147">
        <v>2</v>
      </c>
      <c r="AA8" s="147">
        <f t="shared" ref="AA8:AA12" si="7">+I8/Z8</f>
        <v>3125</v>
      </c>
      <c r="AB8" s="147">
        <f>+AB7</f>
        <v>2000</v>
      </c>
      <c r="AC8" s="147">
        <f t="shared" ref="AC8:AC12" si="8">+I8/AB8</f>
        <v>3.125</v>
      </c>
    </row>
    <row r="9" spans="1:29" x14ac:dyDescent="0.25">
      <c r="A9" s="141" t="s">
        <v>139</v>
      </c>
      <c r="B9" s="141"/>
      <c r="C9" s="141"/>
      <c r="D9" s="146">
        <v>10</v>
      </c>
      <c r="E9" s="146">
        <v>7</v>
      </c>
      <c r="F9" s="146">
        <v>12</v>
      </c>
      <c r="G9" s="146">
        <f t="shared" si="2"/>
        <v>84</v>
      </c>
      <c r="H9" s="147">
        <v>80000</v>
      </c>
      <c r="I9" s="147">
        <f t="shared" si="3"/>
        <v>952.38095238095241</v>
      </c>
      <c r="J9" s="148">
        <f>+COUNT(L9:W9)</f>
        <v>12</v>
      </c>
      <c r="K9" s="148">
        <f t="shared" si="4"/>
        <v>72</v>
      </c>
      <c r="L9" s="149">
        <f t="shared" si="5"/>
        <v>952.38095238095241</v>
      </c>
      <c r="M9" s="149">
        <f t="shared" si="0"/>
        <v>952.38095238095241</v>
      </c>
      <c r="N9" s="149">
        <f t="shared" si="0"/>
        <v>952.38095238095241</v>
      </c>
      <c r="O9" s="149">
        <f t="shared" si="0"/>
        <v>952.38095238095241</v>
      </c>
      <c r="P9" s="149">
        <f t="shared" si="0"/>
        <v>952.38095238095241</v>
      </c>
      <c r="Q9" s="149">
        <f t="shared" si="0"/>
        <v>952.38095238095241</v>
      </c>
      <c r="R9" s="149">
        <f t="shared" si="0"/>
        <v>952.38095238095241</v>
      </c>
      <c r="S9" s="149">
        <f t="shared" ref="S9:W9" si="9">+R9</f>
        <v>952.38095238095241</v>
      </c>
      <c r="T9" s="149">
        <f t="shared" si="9"/>
        <v>952.38095238095241</v>
      </c>
      <c r="U9" s="149">
        <f t="shared" si="9"/>
        <v>952.38095238095241</v>
      </c>
      <c r="V9" s="149">
        <f t="shared" si="9"/>
        <v>952.38095238095241</v>
      </c>
      <c r="W9" s="149">
        <f t="shared" si="9"/>
        <v>952.38095238095241</v>
      </c>
      <c r="X9" s="147">
        <f>SUM(L9:W9)</f>
        <v>11428.571428571429</v>
      </c>
      <c r="Y9" s="147">
        <f>+H9-X9</f>
        <v>68571.428571428565</v>
      </c>
      <c r="Z9" s="147">
        <v>2</v>
      </c>
      <c r="AA9" s="147">
        <f t="shared" si="7"/>
        <v>476.1904761904762</v>
      </c>
      <c r="AB9" s="147">
        <f t="shared" ref="AB9:AB12" si="10">+AB8</f>
        <v>2000</v>
      </c>
      <c r="AC9" s="147">
        <f t="shared" si="8"/>
        <v>0.47619047619047622</v>
      </c>
    </row>
    <row r="10" spans="1:29" x14ac:dyDescent="0.25">
      <c r="A10" s="141" t="s">
        <v>295</v>
      </c>
      <c r="B10" s="141"/>
      <c r="C10" s="141"/>
      <c r="D10" s="146">
        <v>15</v>
      </c>
      <c r="E10" s="146">
        <v>7</v>
      </c>
      <c r="F10" s="146">
        <v>12</v>
      </c>
      <c r="G10" s="146">
        <f t="shared" si="2"/>
        <v>84</v>
      </c>
      <c r="H10" s="147">
        <v>388678.5</v>
      </c>
      <c r="I10" s="147">
        <f t="shared" si="3"/>
        <v>4627.125</v>
      </c>
      <c r="J10" s="148">
        <f>+COUNT(L10:W10)</f>
        <v>12</v>
      </c>
      <c r="K10" s="148">
        <f t="shared" si="4"/>
        <v>72</v>
      </c>
      <c r="L10" s="149">
        <f t="shared" si="5"/>
        <v>4627.125</v>
      </c>
      <c r="M10" s="149">
        <f t="shared" si="0"/>
        <v>4627.125</v>
      </c>
      <c r="N10" s="149">
        <f t="shared" si="0"/>
        <v>4627.125</v>
      </c>
      <c r="O10" s="149">
        <f t="shared" si="0"/>
        <v>4627.125</v>
      </c>
      <c r="P10" s="149">
        <f t="shared" si="0"/>
        <v>4627.125</v>
      </c>
      <c r="Q10" s="149">
        <f t="shared" si="0"/>
        <v>4627.125</v>
      </c>
      <c r="R10" s="149">
        <f t="shared" si="0"/>
        <v>4627.125</v>
      </c>
      <c r="S10" s="149">
        <f t="shared" ref="S10:W10" si="11">+R10</f>
        <v>4627.125</v>
      </c>
      <c r="T10" s="149">
        <f t="shared" si="11"/>
        <v>4627.125</v>
      </c>
      <c r="U10" s="149">
        <f t="shared" si="11"/>
        <v>4627.125</v>
      </c>
      <c r="V10" s="149">
        <f t="shared" si="11"/>
        <v>4627.125</v>
      </c>
      <c r="W10" s="149">
        <f t="shared" si="11"/>
        <v>4627.125</v>
      </c>
      <c r="X10" s="147">
        <f>SUM(L10:W10)</f>
        <v>55525.5</v>
      </c>
      <c r="Y10" s="147">
        <f>+H10-X10</f>
        <v>333153</v>
      </c>
      <c r="Z10" s="147">
        <v>2</v>
      </c>
      <c r="AA10" s="147">
        <f t="shared" si="7"/>
        <v>2313.5625</v>
      </c>
      <c r="AB10" s="147">
        <f t="shared" si="10"/>
        <v>2000</v>
      </c>
      <c r="AC10" s="147">
        <f t="shared" si="8"/>
        <v>2.3135625000000002</v>
      </c>
    </row>
    <row r="11" spans="1:29" x14ac:dyDescent="0.25">
      <c r="A11" s="141" t="s">
        <v>135</v>
      </c>
      <c r="B11" s="141"/>
      <c r="C11" s="141"/>
      <c r="D11" s="146">
        <v>1</v>
      </c>
      <c r="E11" s="146">
        <v>3</v>
      </c>
      <c r="F11" s="146">
        <v>12</v>
      </c>
      <c r="G11" s="146">
        <f t="shared" si="2"/>
        <v>36</v>
      </c>
      <c r="H11" s="147">
        <v>180000</v>
      </c>
      <c r="I11" s="147">
        <f t="shared" si="3"/>
        <v>5000</v>
      </c>
      <c r="J11" s="148">
        <f>+COUNT(L11:W11)</f>
        <v>12</v>
      </c>
      <c r="K11" s="148">
        <f t="shared" si="4"/>
        <v>24</v>
      </c>
      <c r="L11" s="149">
        <f t="shared" si="5"/>
        <v>5000</v>
      </c>
      <c r="M11" s="149">
        <f t="shared" si="0"/>
        <v>5000</v>
      </c>
      <c r="N11" s="149">
        <f t="shared" si="0"/>
        <v>5000</v>
      </c>
      <c r="O11" s="149">
        <f t="shared" si="0"/>
        <v>5000</v>
      </c>
      <c r="P11" s="149">
        <f t="shared" si="0"/>
        <v>5000</v>
      </c>
      <c r="Q11" s="149">
        <f t="shared" si="0"/>
        <v>5000</v>
      </c>
      <c r="R11" s="149">
        <f t="shared" si="0"/>
        <v>5000</v>
      </c>
      <c r="S11" s="149">
        <f t="shared" ref="S11:W11" si="12">+R11</f>
        <v>5000</v>
      </c>
      <c r="T11" s="149">
        <f t="shared" si="12"/>
        <v>5000</v>
      </c>
      <c r="U11" s="149">
        <f t="shared" si="12"/>
        <v>5000</v>
      </c>
      <c r="V11" s="149">
        <f t="shared" si="12"/>
        <v>5000</v>
      </c>
      <c r="W11" s="149">
        <f t="shared" si="12"/>
        <v>5000</v>
      </c>
      <c r="X11" s="147">
        <f>SUM(L11:W11)</f>
        <v>60000</v>
      </c>
      <c r="Y11" s="147">
        <f>+H11-X11</f>
        <v>120000</v>
      </c>
      <c r="Z11" s="147">
        <v>2</v>
      </c>
      <c r="AA11" s="147">
        <f t="shared" si="7"/>
        <v>2500</v>
      </c>
      <c r="AB11" s="147">
        <f t="shared" si="10"/>
        <v>2000</v>
      </c>
      <c r="AC11" s="147">
        <f t="shared" si="8"/>
        <v>2.5</v>
      </c>
    </row>
    <row r="12" spans="1:29" x14ac:dyDescent="0.25">
      <c r="A12" s="141" t="str">
        <f>+Inversión!A34</f>
        <v>Gastos de Puesta en Marcha</v>
      </c>
      <c r="B12" s="141"/>
      <c r="C12" s="141"/>
      <c r="D12" s="146">
        <v>1</v>
      </c>
      <c r="E12" s="146">
        <v>6</v>
      </c>
      <c r="F12" s="146">
        <v>12</v>
      </c>
      <c r="G12" s="146">
        <f t="shared" ref="G12" si="13">+E12*F12</f>
        <v>72</v>
      </c>
      <c r="H12" s="147">
        <v>205000</v>
      </c>
      <c r="I12" s="147">
        <f t="shared" ref="I12" si="14">+H12/G12</f>
        <v>2847.2222222222222</v>
      </c>
      <c r="J12" s="148">
        <f t="shared" ref="J12" si="15">+COUNT(L12:W12)</f>
        <v>12</v>
      </c>
      <c r="K12" s="148">
        <f t="shared" ref="K12" si="16">+G12-J12</f>
        <v>60</v>
      </c>
      <c r="L12" s="149">
        <f t="shared" ref="L12" si="17">+I12</f>
        <v>2847.2222222222222</v>
      </c>
      <c r="M12" s="149">
        <f t="shared" ref="M12:R12" si="18">+L12</f>
        <v>2847.2222222222222</v>
      </c>
      <c r="N12" s="149">
        <f t="shared" si="18"/>
        <v>2847.2222222222222</v>
      </c>
      <c r="O12" s="149">
        <f t="shared" si="18"/>
        <v>2847.2222222222222</v>
      </c>
      <c r="P12" s="149">
        <f t="shared" si="18"/>
        <v>2847.2222222222222</v>
      </c>
      <c r="Q12" s="149">
        <f t="shared" si="18"/>
        <v>2847.2222222222222</v>
      </c>
      <c r="R12" s="149">
        <f t="shared" si="18"/>
        <v>2847.2222222222222</v>
      </c>
      <c r="S12" s="149">
        <f t="shared" ref="S12:W12" si="19">+R12</f>
        <v>2847.2222222222222</v>
      </c>
      <c r="T12" s="149">
        <f t="shared" si="19"/>
        <v>2847.2222222222222</v>
      </c>
      <c r="U12" s="149">
        <f t="shared" si="19"/>
        <v>2847.2222222222222</v>
      </c>
      <c r="V12" s="149">
        <f t="shared" si="19"/>
        <v>2847.2222222222222</v>
      </c>
      <c r="W12" s="149">
        <f t="shared" si="19"/>
        <v>2847.2222222222222</v>
      </c>
      <c r="X12" s="147">
        <f t="shared" ref="X12" si="20">SUM(L12:W12)</f>
        <v>34166.666666666664</v>
      </c>
      <c r="Y12" s="147">
        <f t="shared" ref="Y12" si="21">+H12-X12</f>
        <v>170833.33333333334</v>
      </c>
      <c r="Z12" s="147">
        <v>2</v>
      </c>
      <c r="AA12" s="147">
        <f t="shared" si="7"/>
        <v>1423.6111111111111</v>
      </c>
      <c r="AB12" s="147">
        <f t="shared" si="10"/>
        <v>2000</v>
      </c>
      <c r="AC12" s="147">
        <f t="shared" si="8"/>
        <v>1.4236111111111112</v>
      </c>
    </row>
    <row r="13" spans="1:29" x14ac:dyDescent="0.25">
      <c r="A13" s="141"/>
      <c r="B13" s="141"/>
      <c r="C13" s="141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Z13" s="147"/>
      <c r="AA13" s="147"/>
      <c r="AB13" s="147"/>
      <c r="AC13" s="147"/>
    </row>
    <row r="14" spans="1:29" x14ac:dyDescent="0.25">
      <c r="A14" s="144" t="s">
        <v>131</v>
      </c>
      <c r="B14" s="144"/>
      <c r="C14" s="144"/>
      <c r="D14" s="150">
        <f t="shared" ref="D14" si="22">SUM(D7:D13)</f>
        <v>29</v>
      </c>
      <c r="E14" s="150"/>
      <c r="F14" s="150">
        <f>SUM(F7:F13)</f>
        <v>72</v>
      </c>
      <c r="G14" s="150"/>
      <c r="H14" s="150">
        <f>SUM(H7:H13)</f>
        <v>1402657.6</v>
      </c>
      <c r="I14" s="150">
        <f t="shared" ref="I14:L14" si="23">SUM(I7:I13)</f>
        <v>21051.437896825399</v>
      </c>
      <c r="J14" s="150">
        <f t="shared" si="23"/>
        <v>72</v>
      </c>
      <c r="K14" s="150">
        <f t="shared" si="23"/>
        <v>348</v>
      </c>
      <c r="L14" s="150">
        <f t="shared" si="23"/>
        <v>21051.437896825399</v>
      </c>
      <c r="M14" s="150">
        <f t="shared" ref="M14" si="24">SUM(M7:M13)</f>
        <v>21051.437896825399</v>
      </c>
      <c r="N14" s="150">
        <f t="shared" ref="N14" si="25">SUM(N7:N13)</f>
        <v>21051.437896825399</v>
      </c>
      <c r="O14" s="150">
        <f t="shared" ref="O14" si="26">SUM(O7:O13)</f>
        <v>21051.437896825399</v>
      </c>
      <c r="P14" s="150">
        <f t="shared" ref="P14" si="27">SUM(P7:P13)</f>
        <v>21051.437896825399</v>
      </c>
      <c r="Q14" s="150">
        <f t="shared" ref="Q14" si="28">SUM(Q7:Q13)</f>
        <v>21051.437896825399</v>
      </c>
      <c r="R14" s="150">
        <f t="shared" ref="R14" si="29">SUM(R7:R13)</f>
        <v>21051.437896825399</v>
      </c>
      <c r="S14" s="150">
        <f t="shared" ref="S14" si="30">SUM(S7:S13)</f>
        <v>21051.437896825399</v>
      </c>
      <c r="T14" s="150">
        <f t="shared" ref="T14" si="31">SUM(T7:T13)</f>
        <v>21051.437896825399</v>
      </c>
      <c r="U14" s="150">
        <f t="shared" ref="U14" si="32">SUM(U7:U13)</f>
        <v>21051.437896825399</v>
      </c>
      <c r="V14" s="150">
        <f t="shared" ref="V14" si="33">SUM(V7:V13)</f>
        <v>21051.437896825399</v>
      </c>
      <c r="W14" s="150">
        <f t="shared" ref="W14" si="34">SUM(W7:W13)</f>
        <v>21051.437896825399</v>
      </c>
      <c r="X14" s="150">
        <f t="shared" ref="X14" si="35">SUM(X7:X13)</f>
        <v>252617.25476190474</v>
      </c>
      <c r="Y14" s="150">
        <f>SUM(Y7:Y13)</f>
        <v>1150040.3452380951</v>
      </c>
      <c r="Z14" s="150"/>
      <c r="AA14" s="150">
        <f>SUM(AA7:AA13)</f>
        <v>10525.718948412699</v>
      </c>
      <c r="AB14" s="147"/>
      <c r="AC14" s="150">
        <f t="shared" ref="AC14" si="36">SUM(AC7:AC13)</f>
        <v>10.525718948412699</v>
      </c>
    </row>
    <row r="18" spans="1:13" ht="28.5" x14ac:dyDescent="0.25">
      <c r="A18" s="142" t="s">
        <v>140</v>
      </c>
      <c r="B18" s="142" t="s">
        <v>163</v>
      </c>
      <c r="C18" s="142" t="s">
        <v>164</v>
      </c>
      <c r="D18" s="142" t="s">
        <v>8</v>
      </c>
      <c r="E18" s="142" t="s">
        <v>146</v>
      </c>
      <c r="F18" s="143" t="s">
        <v>147</v>
      </c>
      <c r="G18" s="143" t="s">
        <v>148</v>
      </c>
      <c r="H18" s="145" t="s">
        <v>141</v>
      </c>
      <c r="I18" s="145" t="s">
        <v>162</v>
      </c>
      <c r="J18" s="145" t="s">
        <v>142</v>
      </c>
      <c r="K18" s="145" t="s">
        <v>143</v>
      </c>
      <c r="L18" s="145" t="s">
        <v>161</v>
      </c>
      <c r="M18" s="145" t="s">
        <v>145</v>
      </c>
    </row>
    <row r="19" spans="1:13" x14ac:dyDescent="0.25">
      <c r="A19" s="141" t="str">
        <f>+A7</f>
        <v>Caja registradora</v>
      </c>
      <c r="B19" s="141"/>
      <c r="C19" s="141"/>
      <c r="D19" s="146">
        <f>+D7</f>
        <v>1</v>
      </c>
      <c r="E19" s="146">
        <f>+E7</f>
        <v>6</v>
      </c>
      <c r="F19" s="146">
        <f>+F7</f>
        <v>12</v>
      </c>
      <c r="G19" s="146">
        <f>+G7</f>
        <v>72</v>
      </c>
      <c r="H19" s="147">
        <f>+H7</f>
        <v>98979.1</v>
      </c>
      <c r="I19" s="147">
        <f>+H19/G19</f>
        <v>1374.7097222222224</v>
      </c>
      <c r="J19" s="148">
        <f>+J7</f>
        <v>12</v>
      </c>
      <c r="K19" s="148">
        <f>+G19-J19</f>
        <v>60</v>
      </c>
      <c r="L19" s="149">
        <f>+I19*J19</f>
        <v>16496.51666666667</v>
      </c>
      <c r="M19" s="147">
        <f>+H19-L19</f>
        <v>82482.583333333343</v>
      </c>
    </row>
    <row r="20" spans="1:13" x14ac:dyDescent="0.25">
      <c r="A20" s="141" t="str">
        <f t="shared" ref="A20:A24" si="37">+A8</f>
        <v>Notebook</v>
      </c>
      <c r="B20" s="141"/>
      <c r="C20" s="141"/>
      <c r="D20" s="146">
        <f t="shared" ref="D20:D24" si="38">+D8</f>
        <v>1</v>
      </c>
      <c r="E20" s="146">
        <f t="shared" ref="E20:F24" si="39">+E8</f>
        <v>6</v>
      </c>
      <c r="F20" s="146">
        <f t="shared" si="39"/>
        <v>12</v>
      </c>
      <c r="G20" s="146">
        <f t="shared" ref="G20:H20" si="40">+G8</f>
        <v>72</v>
      </c>
      <c r="H20" s="147">
        <f t="shared" si="40"/>
        <v>450000</v>
      </c>
      <c r="I20" s="147">
        <f t="shared" ref="I20:I24" si="41">+H20/G20</f>
        <v>6250</v>
      </c>
      <c r="J20" s="148">
        <f>+J19</f>
        <v>12</v>
      </c>
      <c r="K20" s="148">
        <f t="shared" ref="K20:K23" si="42">+G20-J20</f>
        <v>60</v>
      </c>
      <c r="L20" s="149">
        <f t="shared" ref="L20:L23" si="43">+I20*J20</f>
        <v>75000</v>
      </c>
      <c r="M20" s="147">
        <f t="shared" ref="M20:M23" si="44">+H20-L20</f>
        <v>375000</v>
      </c>
    </row>
    <row r="21" spans="1:13" x14ac:dyDescent="0.25">
      <c r="A21" s="141" t="str">
        <f t="shared" si="37"/>
        <v>Pisos</v>
      </c>
      <c r="B21" s="141"/>
      <c r="C21" s="141"/>
      <c r="D21" s="146">
        <f t="shared" si="38"/>
        <v>10</v>
      </c>
      <c r="E21" s="146">
        <f t="shared" si="39"/>
        <v>7</v>
      </c>
      <c r="F21" s="146">
        <f t="shared" si="39"/>
        <v>12</v>
      </c>
      <c r="G21" s="146">
        <f t="shared" ref="G21:H21" si="45">+G9</f>
        <v>84</v>
      </c>
      <c r="H21" s="147">
        <f t="shared" si="45"/>
        <v>80000</v>
      </c>
      <c r="I21" s="147">
        <f t="shared" si="41"/>
        <v>952.38095238095241</v>
      </c>
      <c r="J21" s="148">
        <f t="shared" ref="J21:J24" si="46">+J20</f>
        <v>12</v>
      </c>
      <c r="K21" s="148">
        <f t="shared" si="42"/>
        <v>72</v>
      </c>
      <c r="L21" s="149">
        <f t="shared" si="43"/>
        <v>11428.571428571429</v>
      </c>
      <c r="M21" s="147">
        <f t="shared" si="44"/>
        <v>68571.428571428565</v>
      </c>
    </row>
    <row r="22" spans="1:13" x14ac:dyDescent="0.25">
      <c r="A22" s="141" t="str">
        <f t="shared" si="37"/>
        <v>Cafeteras</v>
      </c>
      <c r="B22" s="141"/>
      <c r="C22" s="141"/>
      <c r="D22" s="146">
        <f t="shared" si="38"/>
        <v>15</v>
      </c>
      <c r="E22" s="146">
        <f t="shared" si="39"/>
        <v>7</v>
      </c>
      <c r="F22" s="146">
        <f t="shared" si="39"/>
        <v>12</v>
      </c>
      <c r="G22" s="146">
        <f t="shared" ref="G22:H22" si="47">+G10</f>
        <v>84</v>
      </c>
      <c r="H22" s="147">
        <f t="shared" si="47"/>
        <v>388678.5</v>
      </c>
      <c r="I22" s="147">
        <f t="shared" si="41"/>
        <v>4627.125</v>
      </c>
      <c r="J22" s="148">
        <f t="shared" si="46"/>
        <v>12</v>
      </c>
      <c r="K22" s="148">
        <f t="shared" si="42"/>
        <v>72</v>
      </c>
      <c r="L22" s="149">
        <f t="shared" si="43"/>
        <v>55525.5</v>
      </c>
      <c r="M22" s="147">
        <f t="shared" si="44"/>
        <v>333153</v>
      </c>
    </row>
    <row r="23" spans="1:13" x14ac:dyDescent="0.25">
      <c r="A23" s="141" t="str">
        <f t="shared" si="37"/>
        <v xml:space="preserve">Multifuncional brother </v>
      </c>
      <c r="B23" s="141"/>
      <c r="C23" s="141"/>
      <c r="D23" s="146">
        <f t="shared" si="38"/>
        <v>1</v>
      </c>
      <c r="E23" s="146">
        <f t="shared" si="39"/>
        <v>3</v>
      </c>
      <c r="F23" s="146">
        <f t="shared" si="39"/>
        <v>12</v>
      </c>
      <c r="G23" s="146">
        <f t="shared" ref="G23:H23" si="48">+G11</f>
        <v>36</v>
      </c>
      <c r="H23" s="147">
        <f t="shared" si="48"/>
        <v>180000</v>
      </c>
      <c r="I23" s="147">
        <f t="shared" si="41"/>
        <v>5000</v>
      </c>
      <c r="J23" s="148">
        <f t="shared" si="46"/>
        <v>12</v>
      </c>
      <c r="K23" s="148">
        <f t="shared" si="42"/>
        <v>24</v>
      </c>
      <c r="L23" s="149">
        <f t="shared" si="43"/>
        <v>60000</v>
      </c>
      <c r="M23" s="147">
        <f t="shared" si="44"/>
        <v>120000</v>
      </c>
    </row>
    <row r="24" spans="1:13" x14ac:dyDescent="0.25">
      <c r="A24" s="141" t="str">
        <f t="shared" si="37"/>
        <v>Gastos de Puesta en Marcha</v>
      </c>
      <c r="B24" s="141"/>
      <c r="C24" s="141"/>
      <c r="D24" s="146">
        <f t="shared" si="38"/>
        <v>1</v>
      </c>
      <c r="E24" s="146">
        <f t="shared" si="39"/>
        <v>6</v>
      </c>
      <c r="F24" s="146">
        <f t="shared" si="39"/>
        <v>12</v>
      </c>
      <c r="G24" s="146">
        <f t="shared" ref="G24:H24" si="49">+G12</f>
        <v>72</v>
      </c>
      <c r="H24" s="147">
        <f t="shared" si="49"/>
        <v>205000</v>
      </c>
      <c r="I24" s="147">
        <f t="shared" si="41"/>
        <v>2847.2222222222222</v>
      </c>
      <c r="J24" s="148">
        <f t="shared" si="46"/>
        <v>12</v>
      </c>
      <c r="K24" s="148">
        <f t="shared" ref="K24" si="50">+G24-J24</f>
        <v>60</v>
      </c>
      <c r="L24" s="149">
        <f t="shared" ref="L24" si="51">+I24*J24</f>
        <v>34166.666666666664</v>
      </c>
      <c r="M24" s="147">
        <f t="shared" ref="M24" si="52">+H24-L24</f>
        <v>170833.33333333334</v>
      </c>
    </row>
    <row r="25" spans="1:13" x14ac:dyDescent="0.25">
      <c r="A25" s="141"/>
      <c r="B25" s="141"/>
      <c r="C25" s="141"/>
      <c r="L25" s="149"/>
    </row>
    <row r="26" spans="1:13" x14ac:dyDescent="0.25">
      <c r="A26" s="144" t="s">
        <v>131</v>
      </c>
      <c r="B26" s="144"/>
      <c r="C26" s="144"/>
      <c r="D26" s="150">
        <f t="shared" ref="D26" si="53">SUM(D19:D25)</f>
        <v>29</v>
      </c>
      <c r="E26" s="150"/>
      <c r="F26" s="150">
        <f>SUM(F19:F25)</f>
        <v>72</v>
      </c>
      <c r="G26" s="150"/>
      <c r="H26" s="150">
        <f>SUM(H19:H25)</f>
        <v>1402657.6</v>
      </c>
      <c r="I26" s="150">
        <f t="shared" ref="I26" si="54">SUM(I19:I25)</f>
        <v>21051.437896825399</v>
      </c>
      <c r="J26" s="150">
        <f t="shared" ref="J26" si="55">SUM(J19:J25)</f>
        <v>72</v>
      </c>
      <c r="K26" s="150">
        <f t="shared" ref="K26" si="56">SUM(K19:K25)</f>
        <v>348</v>
      </c>
      <c r="L26" s="150">
        <f t="shared" ref="L26:M26" si="57">SUM(L19:L25)</f>
        <v>252617.25476190474</v>
      </c>
      <c r="M26" s="150">
        <f t="shared" si="57"/>
        <v>1150040.3452380951</v>
      </c>
    </row>
  </sheetData>
  <phoneticPr fontId="2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1B9C-26E5-43B3-8352-BEEEC64C1972}">
  <dimension ref="A6:Y47"/>
  <sheetViews>
    <sheetView showGridLines="0" zoomScale="80" zoomScaleNormal="80" workbookViewId="0">
      <pane ySplit="8" topLeftCell="A9" activePane="bottomLeft" state="frozen"/>
      <selection pane="bottomLeft" activeCell="P33" sqref="P33"/>
    </sheetView>
  </sheetViews>
  <sheetFormatPr baseColWidth="10" defaultRowHeight="15" x14ac:dyDescent="0.25"/>
  <cols>
    <col min="1" max="1" width="30.140625" style="104" bestFit="1" customWidth="1"/>
    <col min="2" max="2" width="11.5703125" style="104" bestFit="1" customWidth="1"/>
    <col min="3" max="3" width="16.42578125" style="104" bestFit="1" customWidth="1"/>
    <col min="4" max="4" width="19.28515625" style="104" bestFit="1" customWidth="1"/>
    <col min="5" max="5" width="15.140625" style="104" bestFit="1" customWidth="1"/>
    <col min="6" max="6" width="20.85546875" style="104" bestFit="1" customWidth="1"/>
    <col min="7" max="7" width="12.140625" style="104" bestFit="1" customWidth="1"/>
    <col min="8" max="8" width="11.42578125" style="104"/>
    <col min="9" max="9" width="16" style="104" bestFit="1" customWidth="1"/>
    <col min="10" max="10" width="14.85546875" style="104" bestFit="1" customWidth="1"/>
    <col min="11" max="11" width="11" style="104" bestFit="1" customWidth="1"/>
    <col min="12" max="12" width="23" style="104" bestFit="1" customWidth="1"/>
    <col min="13" max="13" width="13.85546875" style="104" bestFit="1" customWidth="1"/>
    <col min="14" max="14" width="14.7109375" style="104" bestFit="1" customWidth="1"/>
    <col min="15" max="15" width="24.42578125" style="104" bestFit="1" customWidth="1"/>
    <col min="16" max="16" width="9.85546875" style="104" bestFit="1" customWidth="1"/>
    <col min="17" max="17" width="12.140625" style="104" bestFit="1" customWidth="1"/>
    <col min="18" max="18" width="14.85546875" style="104" bestFit="1" customWidth="1"/>
    <col min="19" max="19" width="17" style="104" bestFit="1" customWidth="1"/>
    <col min="20" max="20" width="14" style="104" bestFit="1" customWidth="1"/>
    <col min="21" max="21" width="13.85546875" style="104" bestFit="1" customWidth="1"/>
    <col min="22" max="22" width="13.42578125" style="104" bestFit="1" customWidth="1"/>
    <col min="23" max="23" width="17.85546875" style="104" bestFit="1" customWidth="1"/>
    <col min="24" max="24" width="11.42578125" style="104" bestFit="1" customWidth="1"/>
    <col min="25" max="25" width="17.42578125" style="104" bestFit="1" customWidth="1"/>
    <col min="26" max="16384" width="11.42578125" style="104"/>
  </cols>
  <sheetData>
    <row r="6" spans="1:25" x14ac:dyDescent="0.25">
      <c r="D6" s="134"/>
      <c r="E6" s="134"/>
      <c r="F6" s="134"/>
      <c r="G6" s="134"/>
      <c r="H6" s="289" t="s">
        <v>166</v>
      </c>
      <c r="I6" s="289"/>
      <c r="J6" s="289"/>
      <c r="K6" s="289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</row>
    <row r="7" spans="1:25" x14ac:dyDescent="0.25"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</row>
    <row r="8" spans="1:25" x14ac:dyDescent="0.25">
      <c r="A8" s="155" t="s">
        <v>167</v>
      </c>
      <c r="B8" s="155" t="s">
        <v>168</v>
      </c>
      <c r="C8" s="155" t="s">
        <v>169</v>
      </c>
      <c r="D8" s="156" t="s">
        <v>170</v>
      </c>
      <c r="E8" s="156" t="s">
        <v>171</v>
      </c>
      <c r="F8" s="156" t="s">
        <v>172</v>
      </c>
      <c r="G8" s="156" t="s">
        <v>173</v>
      </c>
      <c r="H8" s="156" t="s">
        <v>174</v>
      </c>
      <c r="I8" s="156" t="s">
        <v>175</v>
      </c>
      <c r="J8" s="156" t="s">
        <v>176</v>
      </c>
      <c r="K8" s="156" t="s">
        <v>177</v>
      </c>
      <c r="L8" s="156" t="s">
        <v>178</v>
      </c>
      <c r="M8" s="156" t="s">
        <v>179</v>
      </c>
      <c r="N8" s="156" t="s">
        <v>209</v>
      </c>
      <c r="O8" s="156" t="s">
        <v>180</v>
      </c>
      <c r="P8" s="156" t="s">
        <v>181</v>
      </c>
      <c r="Q8" s="156" t="s">
        <v>182</v>
      </c>
      <c r="R8" s="156" t="s">
        <v>210</v>
      </c>
      <c r="S8" s="156" t="s">
        <v>183</v>
      </c>
      <c r="T8" s="156" t="s">
        <v>184</v>
      </c>
      <c r="U8" s="156" t="s">
        <v>185</v>
      </c>
      <c r="V8" s="156" t="s">
        <v>186</v>
      </c>
      <c r="W8" s="156" t="s">
        <v>187</v>
      </c>
      <c r="X8" s="156" t="s">
        <v>188</v>
      </c>
      <c r="Y8" s="156" t="s">
        <v>189</v>
      </c>
    </row>
    <row r="9" spans="1:25" x14ac:dyDescent="0.25"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spans="1:25" x14ac:dyDescent="0.25">
      <c r="A10" s="104" t="s">
        <v>271</v>
      </c>
      <c r="C10" s="104">
        <v>30</v>
      </c>
      <c r="D10" s="134">
        <f>+C15</f>
        <v>500000</v>
      </c>
      <c r="E10" s="134">
        <f>+IF($E$16&lt;$E$15,$E$16,$E$15)</f>
        <v>125000</v>
      </c>
      <c r="F10" s="134">
        <v>0</v>
      </c>
      <c r="G10" s="134">
        <v>0</v>
      </c>
      <c r="H10" s="134">
        <f>SUM(D10:G10)</f>
        <v>625000</v>
      </c>
      <c r="I10" s="134">
        <v>0</v>
      </c>
      <c r="J10" s="134">
        <v>0</v>
      </c>
      <c r="K10" s="134">
        <v>0</v>
      </c>
      <c r="L10" s="134">
        <v>0</v>
      </c>
      <c r="M10" s="134">
        <f>SUM(H10:L10)</f>
        <v>625000</v>
      </c>
      <c r="N10" s="134" t="s">
        <v>190</v>
      </c>
      <c r="O10" s="134">
        <f>+G37</f>
        <v>69750</v>
      </c>
      <c r="P10" s="134">
        <f>+G29</f>
        <v>3750</v>
      </c>
      <c r="Q10" s="134" t="s">
        <v>191</v>
      </c>
      <c r="R10" s="134">
        <f>+G45</f>
        <v>43750</v>
      </c>
      <c r="S10" s="134">
        <f>SUM(O10:P10)+R10</f>
        <v>117250</v>
      </c>
      <c r="T10" s="134">
        <v>0</v>
      </c>
      <c r="U10" s="134">
        <v>0</v>
      </c>
      <c r="V10" s="134">
        <f>SUM(S10:U10)</f>
        <v>117250</v>
      </c>
      <c r="W10" s="134">
        <f>+M10-V10</f>
        <v>507750</v>
      </c>
      <c r="X10" s="134">
        <v>0</v>
      </c>
      <c r="Y10" s="134">
        <f>+W10-X10</f>
        <v>507750</v>
      </c>
    </row>
    <row r="11" spans="1:25" x14ac:dyDescent="0.25">
      <c r="A11" s="104" t="s">
        <v>341</v>
      </c>
      <c r="C11" s="104">
        <v>30</v>
      </c>
      <c r="D11" s="134">
        <f>+C15</f>
        <v>500000</v>
      </c>
      <c r="E11" s="134">
        <f>+IF($E$16&lt;$E$15,$E$16,$E$15)</f>
        <v>125000</v>
      </c>
      <c r="F11" s="134">
        <v>0</v>
      </c>
      <c r="G11" s="134">
        <v>0</v>
      </c>
      <c r="H11" s="134">
        <f>SUM(D11:G11)</f>
        <v>625000</v>
      </c>
      <c r="I11" s="134">
        <v>0</v>
      </c>
      <c r="J11" s="134">
        <v>0</v>
      </c>
      <c r="K11" s="134">
        <v>0</v>
      </c>
      <c r="L11" s="134">
        <v>0</v>
      </c>
      <c r="M11" s="134">
        <f>SUM(H11:L11)</f>
        <v>625000</v>
      </c>
      <c r="N11" s="134" t="s">
        <v>190</v>
      </c>
      <c r="O11" s="134">
        <f>+H37</f>
        <v>69750</v>
      </c>
      <c r="P11" s="134">
        <f>+H29</f>
        <v>3750</v>
      </c>
      <c r="Q11" s="134" t="s">
        <v>191</v>
      </c>
      <c r="R11" s="134">
        <f>+H45</f>
        <v>43750</v>
      </c>
      <c r="S11" s="134">
        <f>SUM(O11:P11)+R11</f>
        <v>117250</v>
      </c>
      <c r="T11" s="134">
        <v>0</v>
      </c>
      <c r="U11" s="134">
        <v>0</v>
      </c>
      <c r="V11" s="134">
        <f>SUM(S11:U11)</f>
        <v>117250</v>
      </c>
      <c r="W11" s="134">
        <f>+M11-V11</f>
        <v>507750</v>
      </c>
      <c r="X11" s="134">
        <v>0</v>
      </c>
      <c r="Y11" s="134">
        <f>+W11-X11</f>
        <v>507750</v>
      </c>
    </row>
    <row r="12" spans="1:25" x14ac:dyDescent="0.25"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spans="1:25" x14ac:dyDescent="0.25">
      <c r="A13" s="157" t="s">
        <v>192</v>
      </c>
      <c r="B13" s="157" t="s">
        <v>193</v>
      </c>
      <c r="C13" s="157" t="s">
        <v>193</v>
      </c>
      <c r="D13" s="158">
        <f>SUM(D9:D12)</f>
        <v>1000000</v>
      </c>
      <c r="E13" s="158">
        <f t="shared" ref="E13:Y13" si="0">SUM(E9:E12)</f>
        <v>250000</v>
      </c>
      <c r="F13" s="158">
        <f t="shared" si="0"/>
        <v>0</v>
      </c>
      <c r="G13" s="158">
        <f t="shared" si="0"/>
        <v>0</v>
      </c>
      <c r="H13" s="158">
        <f t="shared" si="0"/>
        <v>1250000</v>
      </c>
      <c r="I13" s="158">
        <f t="shared" si="0"/>
        <v>0</v>
      </c>
      <c r="J13" s="158">
        <f t="shared" si="0"/>
        <v>0</v>
      </c>
      <c r="K13" s="158">
        <f t="shared" si="0"/>
        <v>0</v>
      </c>
      <c r="L13" s="158">
        <f t="shared" si="0"/>
        <v>0</v>
      </c>
      <c r="M13" s="158">
        <f t="shared" si="0"/>
        <v>1250000</v>
      </c>
      <c r="N13" s="158">
        <f t="shared" si="0"/>
        <v>0</v>
      </c>
      <c r="O13" s="158">
        <f t="shared" si="0"/>
        <v>139500</v>
      </c>
      <c r="P13" s="158">
        <f t="shared" si="0"/>
        <v>7500</v>
      </c>
      <c r="Q13" s="158">
        <f t="shared" si="0"/>
        <v>0</v>
      </c>
      <c r="R13" s="158">
        <f t="shared" si="0"/>
        <v>87500</v>
      </c>
      <c r="S13" s="158">
        <f t="shared" si="0"/>
        <v>234500</v>
      </c>
      <c r="T13" s="158">
        <f t="shared" si="0"/>
        <v>0</v>
      </c>
      <c r="U13" s="158">
        <f t="shared" si="0"/>
        <v>0</v>
      </c>
      <c r="V13" s="158">
        <f t="shared" si="0"/>
        <v>234500</v>
      </c>
      <c r="W13" s="158">
        <f t="shared" si="0"/>
        <v>1015500</v>
      </c>
      <c r="X13" s="158">
        <f t="shared" si="0"/>
        <v>0</v>
      </c>
      <c r="Y13" s="158">
        <f t="shared" si="0"/>
        <v>1015500</v>
      </c>
    </row>
    <row r="15" spans="1:25" x14ac:dyDescent="0.25">
      <c r="A15" s="104" t="s">
        <v>212</v>
      </c>
      <c r="B15" s="104">
        <v>4.75</v>
      </c>
      <c r="C15" s="134">
        <v>500000</v>
      </c>
      <c r="D15" s="134">
        <f>+B15*C15</f>
        <v>2375000</v>
      </c>
      <c r="E15" s="134">
        <f>+D15/12</f>
        <v>197916.66666666666</v>
      </c>
    </row>
    <row r="16" spans="1:25" x14ac:dyDescent="0.25">
      <c r="A16" s="104" t="s">
        <v>171</v>
      </c>
      <c r="B16" s="175">
        <v>0.25</v>
      </c>
      <c r="D16" s="166">
        <f>+D10</f>
        <v>500000</v>
      </c>
      <c r="E16" s="134">
        <f>+D16*B16</f>
        <v>125000</v>
      </c>
      <c r="L16" s="104" t="s">
        <v>243</v>
      </c>
      <c r="M16" s="104">
        <v>40</v>
      </c>
      <c r="O16" s="104" t="s">
        <v>243</v>
      </c>
      <c r="P16" s="104">
        <v>40</v>
      </c>
    </row>
    <row r="17" spans="1:16" x14ac:dyDescent="0.25">
      <c r="L17" s="104" t="s">
        <v>251</v>
      </c>
      <c r="M17" s="104">
        <v>4</v>
      </c>
      <c r="O17" s="104" t="s">
        <v>251</v>
      </c>
      <c r="P17" s="104">
        <v>4</v>
      </c>
    </row>
    <row r="18" spans="1:16" x14ac:dyDescent="0.25">
      <c r="A18" s="141" t="s">
        <v>198</v>
      </c>
      <c r="B18" s="141"/>
      <c r="C18" s="141"/>
      <c r="D18" s="135"/>
      <c r="L18" s="157" t="s">
        <v>250</v>
      </c>
      <c r="M18" s="157">
        <f>+M16*M17</f>
        <v>160</v>
      </c>
      <c r="O18" s="157" t="s">
        <v>250</v>
      </c>
      <c r="P18" s="157">
        <f>+P16*P17</f>
        <v>160</v>
      </c>
    </row>
    <row r="19" spans="1:16" x14ac:dyDescent="0.25">
      <c r="A19" s="141"/>
      <c r="B19" s="141"/>
      <c r="C19" s="141"/>
      <c r="D19" s="135"/>
      <c r="F19" s="159" t="s">
        <v>194</v>
      </c>
      <c r="G19" s="159"/>
    </row>
    <row r="20" spans="1:16" x14ac:dyDescent="0.25">
      <c r="A20" s="155" t="s">
        <v>199</v>
      </c>
      <c r="B20" s="155" t="s">
        <v>200</v>
      </c>
      <c r="C20" s="161" t="s">
        <v>201</v>
      </c>
      <c r="D20" s="170" t="s">
        <v>202</v>
      </c>
      <c r="F20" s="160" t="s">
        <v>195</v>
      </c>
      <c r="G20" s="161" t="s">
        <v>83</v>
      </c>
      <c r="H20" s="161" t="s">
        <v>83</v>
      </c>
      <c r="I20" s="161" t="s">
        <v>11</v>
      </c>
      <c r="L20" s="212" t="s">
        <v>117</v>
      </c>
      <c r="M20" s="213"/>
      <c r="O20" s="212" t="s">
        <v>117</v>
      </c>
      <c r="P20" s="213"/>
    </row>
    <row r="21" spans="1:16" x14ac:dyDescent="0.25">
      <c r="A21" s="104" t="s">
        <v>203</v>
      </c>
      <c r="B21" s="104">
        <v>5101001</v>
      </c>
      <c r="C21" s="171">
        <f>+D13</f>
        <v>1000000</v>
      </c>
      <c r="D21" s="171"/>
      <c r="E21" s="104" t="str">
        <f>+D8</f>
        <v>Sueldo alcanzado</v>
      </c>
      <c r="F21" s="162">
        <v>9.2999999999999992E-3</v>
      </c>
      <c r="G21" s="163">
        <f>+ROUND($H$10*F21,0)</f>
        <v>5813</v>
      </c>
      <c r="H21" s="163">
        <f>+ROUND($H$11*$F$21,0)</f>
        <v>5813</v>
      </c>
      <c r="I21" s="163">
        <f>SUM(G21:H21)</f>
        <v>11626</v>
      </c>
      <c r="L21" s="127" t="s">
        <v>242</v>
      </c>
      <c r="M21" s="214">
        <v>40</v>
      </c>
      <c r="O21" s="127" t="s">
        <v>242</v>
      </c>
      <c r="P21" s="214">
        <v>40</v>
      </c>
    </row>
    <row r="22" spans="1:16" x14ac:dyDescent="0.25">
      <c r="A22" s="104" t="s">
        <v>204</v>
      </c>
      <c r="B22" s="104">
        <v>5101002</v>
      </c>
      <c r="C22" s="171">
        <f>+E13</f>
        <v>250000</v>
      </c>
      <c r="D22" s="171"/>
      <c r="E22" s="104" t="str">
        <f>+E8</f>
        <v>Gratificación</v>
      </c>
      <c r="F22" s="162"/>
      <c r="G22" s="163"/>
      <c r="H22" s="163"/>
      <c r="I22" s="163"/>
      <c r="L22" s="127" t="s">
        <v>244</v>
      </c>
      <c r="M22" s="214">
        <v>5</v>
      </c>
      <c r="O22" s="127" t="s">
        <v>244</v>
      </c>
      <c r="P22" s="214">
        <v>5</v>
      </c>
    </row>
    <row r="23" spans="1:16" x14ac:dyDescent="0.25">
      <c r="A23" s="104" t="s">
        <v>205</v>
      </c>
      <c r="B23" s="104">
        <v>5101009</v>
      </c>
      <c r="C23" s="171">
        <f>+I23</f>
        <v>11626</v>
      </c>
      <c r="D23" s="171"/>
      <c r="E23" s="104" t="str">
        <f>+F19</f>
        <v>ISL</v>
      </c>
      <c r="F23" s="164">
        <f>+F21+F22</f>
        <v>9.2999999999999992E-3</v>
      </c>
      <c r="G23" s="165">
        <f>+G21+G22</f>
        <v>5813</v>
      </c>
      <c r="H23" s="165">
        <f>+H21+H22</f>
        <v>5813</v>
      </c>
      <c r="I23" s="165">
        <f>+I21+I22</f>
        <v>11626</v>
      </c>
      <c r="L23" s="127" t="s">
        <v>245</v>
      </c>
      <c r="M23" s="214">
        <f>+M21/M22</f>
        <v>8</v>
      </c>
      <c r="O23" s="127" t="s">
        <v>245</v>
      </c>
      <c r="P23" s="214">
        <f>+P21/P22</f>
        <v>8</v>
      </c>
    </row>
    <row r="24" spans="1:16" x14ac:dyDescent="0.25">
      <c r="A24" s="104" t="s">
        <v>205</v>
      </c>
      <c r="B24" s="104">
        <v>5101009</v>
      </c>
      <c r="C24" s="171">
        <f>+I30</f>
        <v>30000</v>
      </c>
      <c r="D24" s="171"/>
      <c r="E24" s="104" t="str">
        <f>+F27</f>
        <v>AFC</v>
      </c>
      <c r="F24" s="165"/>
      <c r="G24" s="165"/>
      <c r="H24" s="165"/>
      <c r="I24" s="165"/>
      <c r="L24" s="127" t="s">
        <v>177</v>
      </c>
      <c r="M24" s="214">
        <v>1</v>
      </c>
      <c r="O24" s="127" t="s">
        <v>177</v>
      </c>
      <c r="P24" s="214">
        <v>1</v>
      </c>
    </row>
    <row r="25" spans="1:16" x14ac:dyDescent="0.25">
      <c r="A25" s="104" t="s">
        <v>205</v>
      </c>
      <c r="B25" s="104">
        <v>5101009</v>
      </c>
      <c r="C25" s="171">
        <f>+I36</f>
        <v>18626</v>
      </c>
      <c r="D25" s="171"/>
      <c r="E25" s="104" t="str">
        <f>+F34</f>
        <v>SIS</v>
      </c>
      <c r="L25" s="215" t="s">
        <v>246</v>
      </c>
      <c r="M25" s="216">
        <f>+M23-M24</f>
        <v>7</v>
      </c>
      <c r="O25" s="215" t="s">
        <v>246</v>
      </c>
      <c r="P25" s="216">
        <f>+P23-P24</f>
        <v>7</v>
      </c>
    </row>
    <row r="26" spans="1:16" x14ac:dyDescent="0.25">
      <c r="A26" s="104" t="s">
        <v>206</v>
      </c>
      <c r="B26" s="104">
        <v>2103001</v>
      </c>
      <c r="C26" s="171"/>
      <c r="D26" s="171">
        <f>+C23</f>
        <v>11626</v>
      </c>
      <c r="E26" s="104" t="str">
        <f>+E23</f>
        <v>ISL</v>
      </c>
      <c r="L26" s="127" t="s">
        <v>247</v>
      </c>
      <c r="M26" s="214">
        <v>2</v>
      </c>
      <c r="O26" s="127" t="s">
        <v>247</v>
      </c>
      <c r="P26" s="214">
        <v>2</v>
      </c>
    </row>
    <row r="27" spans="1:16" x14ac:dyDescent="0.25">
      <c r="A27" s="104" t="s">
        <v>206</v>
      </c>
      <c r="B27" s="104">
        <v>2103001</v>
      </c>
      <c r="C27" s="171"/>
      <c r="D27" s="171">
        <f t="shared" ref="D27:D28" si="1">+C24</f>
        <v>30000</v>
      </c>
      <c r="E27" s="104" t="str">
        <f t="shared" ref="E27:E28" si="2">+E24</f>
        <v>AFC</v>
      </c>
      <c r="F27" s="159" t="s">
        <v>181</v>
      </c>
      <c r="L27" s="215" t="s">
        <v>248</v>
      </c>
      <c r="M27" s="309">
        <f>+M25-M26</f>
        <v>5</v>
      </c>
      <c r="O27" s="215" t="s">
        <v>248</v>
      </c>
      <c r="P27" s="309">
        <f>+P25-P26</f>
        <v>5</v>
      </c>
    </row>
    <row r="28" spans="1:16" x14ac:dyDescent="0.25">
      <c r="A28" s="104" t="s">
        <v>206</v>
      </c>
      <c r="B28" s="104">
        <v>2103001</v>
      </c>
      <c r="C28" s="171"/>
      <c r="D28" s="171">
        <f t="shared" si="1"/>
        <v>18626</v>
      </c>
      <c r="E28" s="104" t="str">
        <f t="shared" si="2"/>
        <v>SIS</v>
      </c>
      <c r="F28" s="160" t="s">
        <v>195</v>
      </c>
      <c r="G28" s="161" t="s">
        <v>83</v>
      </c>
      <c r="H28" s="161" t="s">
        <v>83</v>
      </c>
      <c r="I28" s="161" t="s">
        <v>11</v>
      </c>
      <c r="L28" s="127"/>
      <c r="M28" s="128"/>
      <c r="O28" s="127"/>
      <c r="P28" s="128"/>
    </row>
    <row r="29" spans="1:16" x14ac:dyDescent="0.25">
      <c r="A29" s="104" t="s">
        <v>206</v>
      </c>
      <c r="B29" s="104">
        <v>2103001</v>
      </c>
      <c r="C29" s="171"/>
      <c r="D29" s="171">
        <f>+O13</f>
        <v>139500</v>
      </c>
      <c r="E29" s="104" t="str">
        <f>+N8</f>
        <v>AFP</v>
      </c>
      <c r="F29" s="162">
        <v>6.0000000000000001E-3</v>
      </c>
      <c r="G29" s="163">
        <f>+ROUND($H$10*$F$29,0)</f>
        <v>3750</v>
      </c>
      <c r="H29" s="163">
        <f>+ROUND($H$11*$F$29,0)</f>
        <v>3750</v>
      </c>
      <c r="I29" s="163">
        <f>SUM(G29:H29)</f>
        <v>7500</v>
      </c>
      <c r="L29" s="127" t="s">
        <v>15</v>
      </c>
      <c r="M29" s="214">
        <v>30</v>
      </c>
      <c r="O29" s="127" t="s">
        <v>15</v>
      </c>
      <c r="P29" s="214">
        <v>30</v>
      </c>
    </row>
    <row r="30" spans="1:16" x14ac:dyDescent="0.25">
      <c r="A30" s="104" t="s">
        <v>206</v>
      </c>
      <c r="B30" s="104">
        <v>2103001</v>
      </c>
      <c r="C30" s="171"/>
      <c r="D30" s="171">
        <f>+P13</f>
        <v>7500</v>
      </c>
      <c r="E30" s="104" t="str">
        <f>+P8</f>
        <v>AFC</v>
      </c>
      <c r="F30" s="162">
        <v>2.4E-2</v>
      </c>
      <c r="G30" s="163">
        <f>+ROUND($H$10*$F$30,0)</f>
        <v>15000</v>
      </c>
      <c r="H30" s="163">
        <f>+ROUND($H$11*$F$30,0)</f>
        <v>15000</v>
      </c>
      <c r="I30" s="163">
        <f>SUM(G30:H30)</f>
        <v>30000</v>
      </c>
      <c r="L30" s="127" t="s">
        <v>91</v>
      </c>
      <c r="M30" s="214">
        <v>60</v>
      </c>
      <c r="O30" s="127" t="s">
        <v>91</v>
      </c>
      <c r="P30" s="214">
        <v>60</v>
      </c>
    </row>
    <row r="31" spans="1:16" x14ac:dyDescent="0.25">
      <c r="A31" s="104" t="s">
        <v>206</v>
      </c>
      <c r="B31" s="104">
        <v>2103001</v>
      </c>
      <c r="C31" s="171"/>
      <c r="D31" s="171">
        <f>+R13</f>
        <v>87500</v>
      </c>
      <c r="E31" s="104" t="str">
        <f>+R8</f>
        <v xml:space="preserve"> Salud</v>
      </c>
      <c r="F31" s="164">
        <f>+F29+F30</f>
        <v>0.03</v>
      </c>
      <c r="G31" s="165">
        <f>+G29+G30</f>
        <v>18750</v>
      </c>
      <c r="H31" s="165">
        <f>+H29+H30</f>
        <v>18750</v>
      </c>
      <c r="I31" s="165">
        <f>+I29+I30</f>
        <v>37500</v>
      </c>
      <c r="L31" s="215" t="s">
        <v>92</v>
      </c>
      <c r="M31" s="216">
        <f>+M27*M30</f>
        <v>300</v>
      </c>
      <c r="O31" s="215" t="s">
        <v>92</v>
      </c>
      <c r="P31" s="216">
        <f>+P27*P30</f>
        <v>300</v>
      </c>
    </row>
    <row r="32" spans="1:16" x14ac:dyDescent="0.25">
      <c r="A32" s="104" t="s">
        <v>207</v>
      </c>
      <c r="B32" s="104">
        <v>2102005</v>
      </c>
      <c r="C32" s="171"/>
      <c r="D32" s="171">
        <f>+Y13</f>
        <v>1015500</v>
      </c>
      <c r="E32" s="166" t="str">
        <f>+Y8</f>
        <v>Liquido a Pagar</v>
      </c>
      <c r="F32" s="165"/>
      <c r="G32" s="165"/>
      <c r="H32" s="165"/>
      <c r="I32" s="165"/>
      <c r="L32" s="127" t="s">
        <v>93</v>
      </c>
      <c r="M32" s="214">
        <v>10</v>
      </c>
      <c r="O32" s="127" t="s">
        <v>350</v>
      </c>
      <c r="P32" s="214">
        <v>5</v>
      </c>
    </row>
    <row r="33" spans="1:16" x14ac:dyDescent="0.25">
      <c r="A33" s="104" t="s">
        <v>208</v>
      </c>
      <c r="B33" s="104">
        <v>1101001</v>
      </c>
      <c r="C33" s="171"/>
      <c r="D33" s="171">
        <f>+D32</f>
        <v>1015500</v>
      </c>
      <c r="E33" s="166" t="str">
        <f>+E32</f>
        <v>Liquido a Pagar</v>
      </c>
      <c r="F33" s="167"/>
      <c r="G33" s="167"/>
      <c r="L33" s="127" t="s">
        <v>94</v>
      </c>
      <c r="M33" s="214">
        <f>+M31/M32</f>
        <v>30</v>
      </c>
      <c r="O33" s="127" t="s">
        <v>94</v>
      </c>
      <c r="P33" s="214">
        <f>+P31/P32</f>
        <v>60</v>
      </c>
    </row>
    <row r="34" spans="1:16" x14ac:dyDescent="0.25">
      <c r="A34" s="104" t="s">
        <v>207</v>
      </c>
      <c r="B34" s="104">
        <v>2102005</v>
      </c>
      <c r="C34" s="171">
        <f>+D33</f>
        <v>1015500</v>
      </c>
      <c r="D34" s="171"/>
      <c r="E34" s="166" t="str">
        <f>+E33</f>
        <v>Liquido a Pagar</v>
      </c>
      <c r="F34" s="159" t="s">
        <v>196</v>
      </c>
      <c r="L34" s="220" t="s">
        <v>241</v>
      </c>
      <c r="M34" s="221">
        <f>+M33*M29</f>
        <v>900</v>
      </c>
      <c r="O34" s="220" t="s">
        <v>241</v>
      </c>
      <c r="P34" s="221">
        <f>+P33*P29</f>
        <v>1800</v>
      </c>
    </row>
    <row r="35" spans="1:16" x14ac:dyDescent="0.25">
      <c r="F35" s="160" t="s">
        <v>195</v>
      </c>
      <c r="G35" s="161" t="s">
        <v>83</v>
      </c>
      <c r="H35" s="161" t="s">
        <v>83</v>
      </c>
      <c r="I35" s="161" t="s">
        <v>11</v>
      </c>
    </row>
    <row r="36" spans="1:16" x14ac:dyDescent="0.25">
      <c r="A36" s="144" t="s">
        <v>87</v>
      </c>
      <c r="B36" s="144"/>
      <c r="C36" s="172">
        <f>SUM(C21:C35)</f>
        <v>2325752</v>
      </c>
      <c r="D36" s="172">
        <f>SUM(D21:D35)</f>
        <v>2325752</v>
      </c>
      <c r="F36" s="162">
        <v>1.49E-2</v>
      </c>
      <c r="G36" s="163">
        <f>+ROUND($H$10*$F$36,0)</f>
        <v>9313</v>
      </c>
      <c r="H36" s="163">
        <f>+ROUND($H$11*$F$36,0)</f>
        <v>9313</v>
      </c>
      <c r="I36" s="163">
        <f>SUM(G36:H36)</f>
        <v>18626</v>
      </c>
      <c r="L36" s="141" t="s">
        <v>211</v>
      </c>
      <c r="M36" s="173">
        <f>+Y10+G47</f>
        <v>655126</v>
      </c>
      <c r="O36" s="141" t="s">
        <v>211</v>
      </c>
      <c r="P36" s="173">
        <f>+Y11+H47</f>
        <v>655126</v>
      </c>
    </row>
    <row r="37" spans="1:16" x14ac:dyDescent="0.25">
      <c r="D37" s="174">
        <f>+C36-D36</f>
        <v>0</v>
      </c>
      <c r="F37" s="162">
        <v>0.1116</v>
      </c>
      <c r="G37" s="163">
        <f>+ROUND($H$10*$F$37,0)</f>
        <v>69750</v>
      </c>
      <c r="H37" s="163">
        <f>+ROUND($H$11*$F$37,0)</f>
        <v>69750</v>
      </c>
      <c r="I37" s="163">
        <f>SUM(G37:H37)</f>
        <v>139500</v>
      </c>
      <c r="L37" s="141" t="s">
        <v>249</v>
      </c>
      <c r="M37" s="218">
        <f>+M36/M18</f>
        <v>4094.5374999999999</v>
      </c>
      <c r="O37" s="141" t="s">
        <v>249</v>
      </c>
      <c r="P37" s="218">
        <f>+P36/P18</f>
        <v>4094.5374999999999</v>
      </c>
    </row>
    <row r="38" spans="1:16" x14ac:dyDescent="0.25">
      <c r="F38" s="168">
        <f>+F36+F37</f>
        <v>0.1265</v>
      </c>
      <c r="G38" s="169">
        <f>+G36+G37</f>
        <v>79063</v>
      </c>
      <c r="H38" s="169">
        <f>+H36+H37</f>
        <v>79063</v>
      </c>
      <c r="I38" s="169">
        <f>+I36+I37</f>
        <v>158126</v>
      </c>
    </row>
    <row r="39" spans="1:16" x14ac:dyDescent="0.25">
      <c r="F39" s="165"/>
      <c r="G39" s="165"/>
      <c r="L39" s="104" t="s">
        <v>280</v>
      </c>
      <c r="M39" s="104">
        <v>2</v>
      </c>
      <c r="O39" s="104" t="s">
        <v>280</v>
      </c>
      <c r="P39" s="104">
        <v>2</v>
      </c>
    </row>
    <row r="40" spans="1:16" x14ac:dyDescent="0.25">
      <c r="F40" s="167"/>
      <c r="G40" s="167"/>
    </row>
    <row r="41" spans="1:16" x14ac:dyDescent="0.25">
      <c r="F41" s="159" t="s">
        <v>197</v>
      </c>
      <c r="L41" s="141" t="s">
        <v>278</v>
      </c>
      <c r="M41" s="173">
        <f>+M36/M39</f>
        <v>327563</v>
      </c>
      <c r="O41" s="141" t="s">
        <v>278</v>
      </c>
      <c r="P41" s="173">
        <f>+P36/P39</f>
        <v>327563</v>
      </c>
    </row>
    <row r="42" spans="1:16" x14ac:dyDescent="0.25">
      <c r="F42" s="160" t="s">
        <v>195</v>
      </c>
      <c r="G42" s="161" t="s">
        <v>83</v>
      </c>
      <c r="H42" s="161" t="s">
        <v>83</v>
      </c>
      <c r="I42" s="161" t="s">
        <v>11</v>
      </c>
    </row>
    <row r="43" spans="1:16" x14ac:dyDescent="0.25">
      <c r="F43" s="162">
        <v>7.0000000000000007E-2</v>
      </c>
      <c r="G43" s="163">
        <f>+ROUND($H$10*F43,0)</f>
        <v>43750</v>
      </c>
      <c r="H43" s="163">
        <f>+ROUND($H$11*$F$43,0)</f>
        <v>43750</v>
      </c>
      <c r="I43" s="163">
        <f>SUM(G43:H43)</f>
        <v>87500</v>
      </c>
    </row>
    <row r="44" spans="1:16" x14ac:dyDescent="0.25">
      <c r="F44" s="162"/>
      <c r="G44" s="166"/>
      <c r="H44" s="166"/>
      <c r="I44" s="163"/>
    </row>
    <row r="45" spans="1:16" x14ac:dyDescent="0.25">
      <c r="F45" s="168">
        <f>+F43+F44</f>
        <v>7.0000000000000007E-2</v>
      </c>
      <c r="G45" s="169">
        <f>+G43+G44</f>
        <v>43750</v>
      </c>
      <c r="H45" s="169">
        <f>+H43+H44</f>
        <v>43750</v>
      </c>
      <c r="I45" s="169">
        <f>+I43+I44</f>
        <v>87500</v>
      </c>
    </row>
    <row r="47" spans="1:16" x14ac:dyDescent="0.25">
      <c r="F47" s="168" t="s">
        <v>11</v>
      </c>
      <c r="G47" s="169">
        <f>+G23+G31+G38+G45</f>
        <v>147376</v>
      </c>
      <c r="H47" s="169">
        <f t="shared" ref="H47" si="3">+H23+H31+H38+H45</f>
        <v>147376</v>
      </c>
      <c r="I47" s="169">
        <f>+I23+I31+I38+I45</f>
        <v>294752</v>
      </c>
    </row>
  </sheetData>
  <mergeCells count="1">
    <mergeCell ref="H6:K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9AFB1-6FB9-48B7-A8D5-B14D9E5E454C}">
  <dimension ref="A4:R42"/>
  <sheetViews>
    <sheetView showGridLines="0" topLeftCell="B1" zoomScale="80" zoomScaleNormal="80" workbookViewId="0">
      <selection activeCell="N38" sqref="N38"/>
    </sheetView>
  </sheetViews>
  <sheetFormatPr baseColWidth="10" defaultColWidth="17.85546875" defaultRowHeight="15" x14ac:dyDescent="0.25"/>
  <cols>
    <col min="1" max="1" width="4.42578125" style="104" bestFit="1" customWidth="1"/>
    <col min="2" max="2" width="10.85546875" style="104" bestFit="1" customWidth="1"/>
    <col min="3" max="3" width="10.5703125" style="104" bestFit="1" customWidth="1"/>
    <col min="4" max="4" width="17" style="104" bestFit="1" customWidth="1"/>
    <col min="5" max="5" width="12.140625" style="104" bestFit="1" customWidth="1"/>
    <col min="6" max="6" width="42.42578125" style="104" bestFit="1" customWidth="1"/>
    <col min="7" max="7" width="10.140625" style="104" bestFit="1" customWidth="1"/>
    <col min="8" max="8" width="9" style="137" bestFit="1" customWidth="1"/>
    <col min="9" max="9" width="9.5703125" style="137" customWidth="1"/>
    <col min="10" max="10" width="9" style="137" bestFit="1" customWidth="1"/>
    <col min="11" max="11" width="10.42578125" style="137" bestFit="1" customWidth="1"/>
    <col min="12" max="12" width="10.85546875" style="137" bestFit="1" customWidth="1"/>
    <col min="13" max="13" width="17.85546875" style="104"/>
    <col min="14" max="14" width="26.28515625" style="104" bestFit="1" customWidth="1"/>
    <col min="15" max="15" width="17.85546875" style="104"/>
    <col min="16" max="16" width="6.42578125" style="104" customWidth="1"/>
    <col min="17" max="18" width="17.85546875" style="104"/>
    <col min="19" max="19" width="17.85546875" style="104" customWidth="1"/>
    <col min="20" max="16384" width="17.85546875" style="104"/>
  </cols>
  <sheetData>
    <row r="4" spans="1:18" x14ac:dyDescent="0.25">
      <c r="H4" s="141" t="s">
        <v>195</v>
      </c>
      <c r="I4" s="176">
        <v>0.13750000000000001</v>
      </c>
    </row>
    <row r="6" spans="1:18" x14ac:dyDescent="0.25">
      <c r="A6" s="290" t="s">
        <v>213</v>
      </c>
      <c r="B6" s="291"/>
      <c r="C6" s="291"/>
      <c r="D6" s="292"/>
      <c r="E6" s="293" t="s">
        <v>214</v>
      </c>
      <c r="F6" s="291"/>
      <c r="G6" s="292"/>
      <c r="H6" s="294" t="s">
        <v>215</v>
      </c>
      <c r="I6" s="295"/>
      <c r="J6" s="296"/>
      <c r="K6" s="234"/>
      <c r="L6" s="235"/>
      <c r="N6" s="212" t="s">
        <v>117</v>
      </c>
      <c r="O6" s="213"/>
      <c r="Q6" s="212" t="s">
        <v>117</v>
      </c>
      <c r="R6" s="213"/>
    </row>
    <row r="7" spans="1:18" ht="15.75" x14ac:dyDescent="0.25">
      <c r="A7" s="182" t="s">
        <v>216</v>
      </c>
      <c r="B7" s="177" t="s">
        <v>164</v>
      </c>
      <c r="C7" s="177" t="s">
        <v>217</v>
      </c>
      <c r="D7" s="177" t="s">
        <v>218</v>
      </c>
      <c r="E7" s="177" t="s">
        <v>168</v>
      </c>
      <c r="F7" s="177" t="s">
        <v>219</v>
      </c>
      <c r="G7" s="177" t="s">
        <v>220</v>
      </c>
      <c r="H7" s="180" t="s">
        <v>221</v>
      </c>
      <c r="I7" s="180" t="s">
        <v>222</v>
      </c>
      <c r="J7" s="183" t="s">
        <v>223</v>
      </c>
      <c r="K7" s="236" t="s">
        <v>277</v>
      </c>
      <c r="L7" s="237" t="s">
        <v>276</v>
      </c>
      <c r="N7" s="21" t="s">
        <v>9</v>
      </c>
      <c r="O7" s="214">
        <v>15000</v>
      </c>
      <c r="Q7" s="21" t="s">
        <v>9</v>
      </c>
      <c r="R7" s="214">
        <v>15000</v>
      </c>
    </row>
    <row r="8" spans="1:18" ht="15.75" x14ac:dyDescent="0.25">
      <c r="A8" s="184"/>
      <c r="B8" s="179"/>
      <c r="C8" s="178"/>
      <c r="D8" s="178"/>
      <c r="E8" s="178"/>
      <c r="F8" s="178"/>
      <c r="G8" s="178"/>
      <c r="H8" s="181">
        <f>+O41</f>
        <v>360000</v>
      </c>
      <c r="I8" s="181">
        <f>+H8*I4</f>
        <v>49500.000000000007</v>
      </c>
      <c r="J8" s="185">
        <f>+H8-I8</f>
        <v>310500</v>
      </c>
      <c r="K8" s="238">
        <v>2</v>
      </c>
      <c r="L8" s="240">
        <f>+H8/K8</f>
        <v>180000</v>
      </c>
      <c r="N8" s="10" t="s">
        <v>13</v>
      </c>
      <c r="O8" s="214">
        <f>+O26</f>
        <v>3</v>
      </c>
      <c r="Q8" s="10" t="s">
        <v>13</v>
      </c>
      <c r="R8" s="214">
        <f>+O27</f>
        <v>5</v>
      </c>
    </row>
    <row r="9" spans="1:18" ht="15.75" x14ac:dyDescent="0.25">
      <c r="A9" s="184"/>
      <c r="B9" s="179"/>
      <c r="C9" s="178"/>
      <c r="D9" s="178"/>
      <c r="E9" s="178"/>
      <c r="F9" s="178"/>
      <c r="G9" s="178"/>
      <c r="H9" s="181"/>
      <c r="I9" s="181"/>
      <c r="J9" s="185"/>
      <c r="K9" s="238"/>
      <c r="L9" s="241"/>
      <c r="N9" s="98" t="s">
        <v>15</v>
      </c>
      <c r="O9" s="51">
        <f>+O31*O34</f>
        <v>20</v>
      </c>
      <c r="Q9" s="98" t="s">
        <v>15</v>
      </c>
      <c r="R9" s="51">
        <f>+O32*O34</f>
        <v>4</v>
      </c>
    </row>
    <row r="10" spans="1:18" x14ac:dyDescent="0.25">
      <c r="A10" s="184"/>
      <c r="B10" s="179"/>
      <c r="C10" s="178"/>
      <c r="D10" s="178"/>
      <c r="E10" s="178"/>
      <c r="F10" s="178"/>
      <c r="G10" s="178"/>
      <c r="H10" s="181"/>
      <c r="I10" s="181"/>
      <c r="J10" s="185"/>
      <c r="K10" s="238"/>
      <c r="L10" s="241"/>
      <c r="N10" s="127"/>
      <c r="O10" s="128"/>
      <c r="Q10" s="127"/>
      <c r="R10" s="128"/>
    </row>
    <row r="11" spans="1:18" x14ac:dyDescent="0.25">
      <c r="A11" s="184"/>
      <c r="B11" s="179"/>
      <c r="C11" s="178"/>
      <c r="D11" s="178"/>
      <c r="E11" s="178"/>
      <c r="F11" s="178"/>
      <c r="G11" s="178"/>
      <c r="H11" s="181"/>
      <c r="I11" s="181"/>
      <c r="J11" s="185"/>
      <c r="K11" s="238"/>
      <c r="L11" s="241"/>
      <c r="N11" s="127" t="s">
        <v>15</v>
      </c>
      <c r="O11" s="214">
        <f>+O9</f>
        <v>20</v>
      </c>
      <c r="Q11" s="127" t="s">
        <v>15</v>
      </c>
      <c r="R11" s="214">
        <f>+R9</f>
        <v>4</v>
      </c>
    </row>
    <row r="12" spans="1:18" ht="15" customHeight="1" x14ac:dyDescent="0.25">
      <c r="A12" s="186"/>
      <c r="B12" s="186"/>
      <c r="C12" s="186"/>
      <c r="D12" s="186"/>
      <c r="E12" s="186"/>
      <c r="F12" s="186"/>
      <c r="G12" s="187" t="s">
        <v>224</v>
      </c>
      <c r="H12" s="188">
        <f>SUM(H8:H11)</f>
        <v>360000</v>
      </c>
      <c r="I12" s="188">
        <f t="shared" ref="I12:L12" si="0">SUM(I8:I11)</f>
        <v>49500.000000000007</v>
      </c>
      <c r="J12" s="189">
        <f t="shared" si="0"/>
        <v>310500</v>
      </c>
      <c r="K12" s="239"/>
      <c r="L12" s="242">
        <f t="shared" si="0"/>
        <v>180000</v>
      </c>
      <c r="N12" s="127" t="s">
        <v>91</v>
      </c>
      <c r="O12" s="214">
        <v>60</v>
      </c>
      <c r="Q12" s="127" t="s">
        <v>91</v>
      </c>
      <c r="R12" s="214">
        <v>60</v>
      </c>
    </row>
    <row r="13" spans="1:18" x14ac:dyDescent="0.25">
      <c r="N13" s="215" t="s">
        <v>92</v>
      </c>
      <c r="O13" s="216">
        <f>+O8*O12</f>
        <v>180</v>
      </c>
      <c r="Q13" s="215" t="s">
        <v>92</v>
      </c>
      <c r="R13" s="216">
        <f>+R8*R12</f>
        <v>300</v>
      </c>
    </row>
    <row r="14" spans="1:18" x14ac:dyDescent="0.25">
      <c r="N14" s="127" t="s">
        <v>93</v>
      </c>
      <c r="O14" s="214">
        <v>10</v>
      </c>
      <c r="Q14" s="127" t="s">
        <v>93</v>
      </c>
      <c r="R14" s="214">
        <f>+O14</f>
        <v>10</v>
      </c>
    </row>
    <row r="15" spans="1:18" x14ac:dyDescent="0.25">
      <c r="N15" s="127" t="s">
        <v>94</v>
      </c>
      <c r="O15" s="214">
        <f>+O13/O14</f>
        <v>18</v>
      </c>
      <c r="Q15" s="127" t="s">
        <v>94</v>
      </c>
      <c r="R15" s="214">
        <f>+R13/R14</f>
        <v>30</v>
      </c>
    </row>
    <row r="16" spans="1:18" x14ac:dyDescent="0.25">
      <c r="N16" s="220" t="s">
        <v>241</v>
      </c>
      <c r="O16" s="221">
        <f>+O15*O11</f>
        <v>360</v>
      </c>
      <c r="Q16" s="220" t="s">
        <v>241</v>
      </c>
      <c r="R16" s="221">
        <f>+R15*R11</f>
        <v>120</v>
      </c>
    </row>
    <row r="18" spans="14:15" x14ac:dyDescent="0.25">
      <c r="N18" s="104" t="s">
        <v>253</v>
      </c>
      <c r="O18" s="104">
        <v>4</v>
      </c>
    </row>
    <row r="19" spans="14:15" x14ac:dyDescent="0.25">
      <c r="N19" s="104" t="s">
        <v>247</v>
      </c>
      <c r="O19" s="104">
        <v>1</v>
      </c>
    </row>
    <row r="20" spans="14:15" x14ac:dyDescent="0.25">
      <c r="N20" s="141" t="s">
        <v>260</v>
      </c>
      <c r="O20" s="141">
        <f>+O18-O19</f>
        <v>3</v>
      </c>
    </row>
    <row r="21" spans="14:15" x14ac:dyDescent="0.25">
      <c r="N21" s="141"/>
    </row>
    <row r="22" spans="14:15" x14ac:dyDescent="0.25">
      <c r="N22" s="104" t="s">
        <v>254</v>
      </c>
      <c r="O22" s="104">
        <v>8</v>
      </c>
    </row>
    <row r="23" spans="14:15" x14ac:dyDescent="0.25">
      <c r="N23" s="104" t="s">
        <v>247</v>
      </c>
      <c r="O23" s="104">
        <v>3</v>
      </c>
    </row>
    <row r="24" spans="14:15" x14ac:dyDescent="0.25">
      <c r="N24" s="157" t="s">
        <v>260</v>
      </c>
      <c r="O24" s="157">
        <f>+O22-O23</f>
        <v>5</v>
      </c>
    </row>
    <row r="26" spans="14:15" x14ac:dyDescent="0.25">
      <c r="N26" s="222" t="s">
        <v>252</v>
      </c>
      <c r="O26" s="222">
        <f>+O20</f>
        <v>3</v>
      </c>
    </row>
    <row r="27" spans="14:15" x14ac:dyDescent="0.25">
      <c r="N27" s="104" t="s">
        <v>255</v>
      </c>
      <c r="O27" s="104">
        <f>+O24</f>
        <v>5</v>
      </c>
    </row>
    <row r="28" spans="14:15" x14ac:dyDescent="0.25">
      <c r="N28" s="157" t="s">
        <v>257</v>
      </c>
      <c r="O28" s="157">
        <f>+O26+O27</f>
        <v>8</v>
      </c>
    </row>
    <row r="29" spans="14:15" x14ac:dyDescent="0.25">
      <c r="N29" s="141"/>
      <c r="O29" s="141"/>
    </row>
    <row r="30" spans="14:15" x14ac:dyDescent="0.25">
      <c r="N30" s="141"/>
      <c r="O30" s="141"/>
    </row>
    <row r="31" spans="14:15" x14ac:dyDescent="0.25">
      <c r="N31" s="104" t="s">
        <v>261</v>
      </c>
      <c r="O31" s="104">
        <v>5</v>
      </c>
    </row>
    <row r="32" spans="14:15" x14ac:dyDescent="0.25">
      <c r="N32" s="104" t="s">
        <v>256</v>
      </c>
      <c r="O32" s="104">
        <v>1</v>
      </c>
    </row>
    <row r="33" spans="14:15" x14ac:dyDescent="0.25">
      <c r="N33" s="104" t="s">
        <v>258</v>
      </c>
      <c r="O33" s="104">
        <f>+O31+O32</f>
        <v>6</v>
      </c>
    </row>
    <row r="34" spans="14:15" x14ac:dyDescent="0.25">
      <c r="N34" s="104" t="s">
        <v>251</v>
      </c>
      <c r="O34" s="104">
        <v>4</v>
      </c>
    </row>
    <row r="35" spans="14:15" x14ac:dyDescent="0.25">
      <c r="N35" s="157" t="s">
        <v>259</v>
      </c>
      <c r="O35" s="157">
        <f>+O33*O34</f>
        <v>24</v>
      </c>
    </row>
    <row r="37" spans="14:15" x14ac:dyDescent="0.25">
      <c r="O37" s="217"/>
    </row>
    <row r="38" spans="14:15" x14ac:dyDescent="0.25">
      <c r="N38" s="104" t="s">
        <v>262</v>
      </c>
      <c r="O38" s="104">
        <f>+(O18*O11)+(O22*R9)</f>
        <v>112</v>
      </c>
    </row>
    <row r="39" spans="14:15" x14ac:dyDescent="0.25">
      <c r="N39" s="157" t="s">
        <v>263</v>
      </c>
      <c r="O39" s="223">
        <f>+O16+R16</f>
        <v>480</v>
      </c>
    </row>
    <row r="41" spans="14:15" x14ac:dyDescent="0.25">
      <c r="N41" s="141" t="s">
        <v>211</v>
      </c>
      <c r="O41" s="173">
        <f>+O7*O9+R7*R9</f>
        <v>360000</v>
      </c>
    </row>
    <row r="42" spans="14:15" x14ac:dyDescent="0.25">
      <c r="N42" s="141" t="s">
        <v>249</v>
      </c>
      <c r="O42" s="218">
        <f>+O41/O38</f>
        <v>3214.2857142857142</v>
      </c>
    </row>
  </sheetData>
  <mergeCells count="3">
    <mergeCell ref="A6:D6"/>
    <mergeCell ref="E6:G6"/>
    <mergeCell ref="H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B827C-609A-45D8-85E9-32F87AE9F308}">
  <dimension ref="B6:L74"/>
  <sheetViews>
    <sheetView showGridLines="0" zoomScale="80" zoomScaleNormal="80" workbookViewId="0">
      <pane ySplit="7" topLeftCell="A30" activePane="bottomLeft" state="frozen"/>
      <selection pane="bottomLeft" activeCell="I51" sqref="I51"/>
    </sheetView>
  </sheetViews>
  <sheetFormatPr baseColWidth="10" defaultRowHeight="15" x14ac:dyDescent="0.25"/>
  <cols>
    <col min="1" max="1" width="8.7109375" style="104" bestFit="1" customWidth="1"/>
    <col min="2" max="2" width="48.7109375" style="104" bestFit="1" customWidth="1"/>
    <col min="3" max="3" width="11.5703125" style="104" bestFit="1" customWidth="1"/>
    <col min="4" max="4" width="9.42578125" style="104" bestFit="1" customWidth="1"/>
    <col min="5" max="5" width="8" style="104" bestFit="1" customWidth="1"/>
    <col min="6" max="6" width="6.7109375" style="104" bestFit="1" customWidth="1"/>
    <col min="7" max="8" width="11.42578125" style="104"/>
    <col min="9" max="9" width="44.140625" style="104" bestFit="1" customWidth="1"/>
    <col min="10" max="10" width="12.28515625" style="104" bestFit="1" customWidth="1"/>
    <col min="11" max="11" width="13.42578125" style="104" bestFit="1" customWidth="1"/>
    <col min="12" max="12" width="11.28515625" style="104" bestFit="1" customWidth="1"/>
    <col min="13" max="16384" width="11.42578125" style="104"/>
  </cols>
  <sheetData>
    <row r="6" spans="2:12" ht="15.75" x14ac:dyDescent="0.25">
      <c r="B6" s="53" t="s">
        <v>285</v>
      </c>
      <c r="C6" s="55"/>
      <c r="D6" s="56"/>
      <c r="I6" s="106" t="s">
        <v>286</v>
      </c>
      <c r="J6" s="106"/>
      <c r="K6" s="107"/>
      <c r="L6" s="107"/>
    </row>
    <row r="7" spans="2:12" ht="15.75" x14ac:dyDescent="0.25">
      <c r="B7" s="47" t="s">
        <v>2</v>
      </c>
      <c r="C7" s="36"/>
      <c r="D7" s="48"/>
      <c r="I7" s="108" t="s">
        <v>119</v>
      </c>
      <c r="J7" s="108"/>
      <c r="K7" s="109" t="s">
        <v>118</v>
      </c>
      <c r="L7" s="109" t="s">
        <v>11</v>
      </c>
    </row>
    <row r="8" spans="2:12" ht="15.75" x14ac:dyDescent="0.25">
      <c r="B8" s="47" t="s">
        <v>4</v>
      </c>
      <c r="C8" s="36"/>
      <c r="D8" s="48"/>
      <c r="I8" s="110" t="s">
        <v>99</v>
      </c>
      <c r="J8" s="111" t="s">
        <v>100</v>
      </c>
      <c r="K8" s="112">
        <f>+Inversión!F13</f>
        <v>1000</v>
      </c>
      <c r="L8" s="113">
        <f>SUM(K8:K8)</f>
        <v>1000</v>
      </c>
    </row>
    <row r="9" spans="2:12" ht="15.75" x14ac:dyDescent="0.25">
      <c r="B9" s="10"/>
      <c r="C9" s="36"/>
      <c r="D9" s="48"/>
      <c r="I9" s="110" t="s">
        <v>101</v>
      </c>
      <c r="J9" s="111" t="s">
        <v>102</v>
      </c>
      <c r="K9" s="105">
        <f>+C68</f>
        <v>2500000</v>
      </c>
      <c r="L9" s="113">
        <f>SUM(K9:K9)</f>
        <v>2500000</v>
      </c>
    </row>
    <row r="10" spans="2:12" ht="15.75" x14ac:dyDescent="0.25">
      <c r="B10" s="10" t="s">
        <v>5</v>
      </c>
      <c r="C10" s="36">
        <f>+Mercaderia!H15+Mercaderia!H21</f>
        <v>225000</v>
      </c>
      <c r="D10" s="48"/>
      <c r="I10" s="110"/>
      <c r="J10" s="111"/>
      <c r="K10" s="105"/>
      <c r="L10" s="112"/>
    </row>
    <row r="11" spans="2:12" ht="15.75" x14ac:dyDescent="0.25">
      <c r="B11" s="10" t="s">
        <v>95</v>
      </c>
      <c r="C11" s="36">
        <f>+Remus!M41+Honorarios!L12</f>
        <v>507563</v>
      </c>
      <c r="D11" s="48"/>
      <c r="I11" s="123" t="s">
        <v>103</v>
      </c>
      <c r="J11" s="124" t="s">
        <v>104</v>
      </c>
      <c r="K11" s="126">
        <f>IF(K9&lt;&gt;0,K9/K8,0)</f>
        <v>2500</v>
      </c>
      <c r="L11" s="117"/>
    </row>
    <row r="12" spans="2:12" ht="15.75" x14ac:dyDescent="0.25">
      <c r="B12" s="10" t="s">
        <v>6</v>
      </c>
      <c r="C12" s="36">
        <f>+Mercaderia!H34</f>
        <v>100000</v>
      </c>
      <c r="D12" s="48"/>
      <c r="I12" s="118"/>
      <c r="J12" s="118"/>
      <c r="K12" s="119"/>
      <c r="L12" s="119"/>
    </row>
    <row r="13" spans="2:12" ht="15.75" x14ac:dyDescent="0.25">
      <c r="B13" s="10"/>
      <c r="C13" s="36"/>
      <c r="D13" s="48"/>
      <c r="I13" s="108" t="s">
        <v>105</v>
      </c>
      <c r="J13" s="108"/>
      <c r="K13" s="109"/>
      <c r="L13" s="109"/>
    </row>
    <row r="14" spans="2:12" ht="15.75" x14ac:dyDescent="0.25">
      <c r="B14" s="10"/>
      <c r="C14" s="36"/>
      <c r="D14" s="48"/>
      <c r="I14" s="129" t="str">
        <f>+Mercaderia!B10</f>
        <v>Café Instantaneo</v>
      </c>
      <c r="J14" s="129"/>
      <c r="K14" s="105">
        <f>-$K$8*Mercaderia!O9</f>
        <v>-180000</v>
      </c>
      <c r="L14" s="113">
        <f t="shared" ref="L14:L21" si="0">SUM(K14:K14)</f>
        <v>-180000</v>
      </c>
    </row>
    <row r="15" spans="2:12" ht="15.75" x14ac:dyDescent="0.25">
      <c r="B15" s="138" t="s">
        <v>7</v>
      </c>
      <c r="C15" s="139">
        <f>+Inversión!F13</f>
        <v>1000</v>
      </c>
      <c r="D15" s="48"/>
      <c r="I15" s="129" t="str">
        <f>+Mercaderia!B11</f>
        <v>Azucar</v>
      </c>
      <c r="J15" s="129"/>
      <c r="K15" s="105">
        <f>-$K$8*Mercaderia!O10</f>
        <v>-5000</v>
      </c>
      <c r="L15" s="113">
        <f t="shared" si="0"/>
        <v>-5000</v>
      </c>
    </row>
    <row r="16" spans="2:12" ht="15.75" x14ac:dyDescent="0.25">
      <c r="B16" s="10"/>
      <c r="C16" s="3"/>
      <c r="D16" s="48"/>
      <c r="I16" s="129" t="str">
        <f>+Mercaderia!B20</f>
        <v>Leche</v>
      </c>
      <c r="J16" s="129"/>
      <c r="K16" s="105"/>
      <c r="L16" s="113">
        <f t="shared" si="0"/>
        <v>0</v>
      </c>
    </row>
    <row r="17" spans="2:12" ht="15.75" x14ac:dyDescent="0.25">
      <c r="B17" s="5" t="s">
        <v>8</v>
      </c>
      <c r="C17" s="6">
        <f>+C15</f>
        <v>1000</v>
      </c>
      <c r="D17" s="48"/>
      <c r="I17" s="129" t="str">
        <f>+Mercaderia!B21</f>
        <v>Endulzantes</v>
      </c>
      <c r="J17" s="129"/>
      <c r="K17" s="105">
        <f>-$K$8*Mercaderia!O20</f>
        <v>-625</v>
      </c>
      <c r="L17" s="113">
        <f t="shared" si="0"/>
        <v>-625</v>
      </c>
    </row>
    <row r="18" spans="2:12" ht="15.75" x14ac:dyDescent="0.25">
      <c r="B18" s="5" t="s">
        <v>10</v>
      </c>
      <c r="C18" s="8" t="s">
        <v>11</v>
      </c>
      <c r="D18" s="9" t="s">
        <v>12</v>
      </c>
      <c r="I18" s="129" t="str">
        <f>+Mercaderia!B30</f>
        <v>Vase Desechable</v>
      </c>
      <c r="J18" s="129"/>
      <c r="K18" s="105">
        <f>-$K$8*Mercaderia!O29</f>
        <v>-40000</v>
      </c>
      <c r="L18" s="113">
        <f t="shared" si="0"/>
        <v>-40000</v>
      </c>
    </row>
    <row r="19" spans="2:12" ht="15.75" x14ac:dyDescent="0.25">
      <c r="B19" s="10" t="s">
        <v>14</v>
      </c>
      <c r="C19" s="11">
        <f>+C10</f>
        <v>225000</v>
      </c>
      <c r="D19" s="12">
        <f>+Mercaderia!O12+Mercaderia!O20</f>
        <v>185.625</v>
      </c>
      <c r="I19" s="129" t="str">
        <f>+Mercaderia!B31</f>
        <v>Servilletas</v>
      </c>
      <c r="J19" s="129"/>
      <c r="K19" s="105">
        <f>-$K$8*Mercaderia!O30</f>
        <v>-20000</v>
      </c>
      <c r="L19" s="113">
        <f t="shared" si="0"/>
        <v>-20000</v>
      </c>
    </row>
    <row r="20" spans="2:12" ht="15.75" x14ac:dyDescent="0.25">
      <c r="B20" s="10" t="s">
        <v>96</v>
      </c>
      <c r="C20" s="11">
        <f>+C11</f>
        <v>507563</v>
      </c>
      <c r="D20" s="12">
        <f>(C20/$C$15)</f>
        <v>507.56299999999999</v>
      </c>
      <c r="I20" s="129" t="str">
        <f>+Mercaderia!B32</f>
        <v>Cucharitas</v>
      </c>
      <c r="J20" s="129"/>
      <c r="K20" s="105">
        <f>-$K$8*Mercaderia!O31</f>
        <v>-40000</v>
      </c>
      <c r="L20" s="113">
        <f t="shared" si="0"/>
        <v>-40000</v>
      </c>
    </row>
    <row r="21" spans="2:12" ht="15.75" x14ac:dyDescent="0.25">
      <c r="B21" s="10" t="s">
        <v>16</v>
      </c>
      <c r="C21" s="11">
        <f>+C12</f>
        <v>100000</v>
      </c>
      <c r="D21" s="12">
        <f>(C21/$C$15)</f>
        <v>100</v>
      </c>
      <c r="I21" s="129" t="str">
        <f>+Inversión!A26</f>
        <v>Sueldo Barista</v>
      </c>
      <c r="J21" s="129"/>
      <c r="K21" s="105">
        <f>-D20*K8</f>
        <v>-507563</v>
      </c>
      <c r="L21" s="113">
        <f t="shared" si="0"/>
        <v>-507563</v>
      </c>
    </row>
    <row r="22" spans="2:12" ht="15.75" x14ac:dyDescent="0.25">
      <c r="B22" s="13"/>
      <c r="C22" s="14"/>
      <c r="D22" s="12"/>
      <c r="I22" s="129"/>
      <c r="J22" s="129"/>
      <c r="K22" s="105"/>
      <c r="L22" s="113"/>
    </row>
    <row r="23" spans="2:12" ht="15.75" x14ac:dyDescent="0.25">
      <c r="B23" s="5" t="s">
        <v>11</v>
      </c>
      <c r="C23" s="15">
        <f>SUM(C19:C22)</f>
        <v>832563</v>
      </c>
      <c r="D23" s="16">
        <f>SUM(D19:D21)</f>
        <v>793.18799999999999</v>
      </c>
      <c r="I23" s="300"/>
      <c r="J23" s="300"/>
      <c r="K23" s="105"/>
      <c r="L23" s="112"/>
    </row>
    <row r="24" spans="2:12" ht="15.75" x14ac:dyDescent="0.25">
      <c r="B24" s="60"/>
      <c r="C24" s="61"/>
      <c r="D24" s="62"/>
      <c r="I24" s="123" t="s">
        <v>106</v>
      </c>
      <c r="J24" s="124" t="s">
        <v>49</v>
      </c>
      <c r="K24" s="125">
        <f>SUM(K14:K22)</f>
        <v>-793188</v>
      </c>
      <c r="L24" s="125">
        <f>SUM(L14:L22)</f>
        <v>-793188</v>
      </c>
    </row>
    <row r="25" spans="2:12" x14ac:dyDescent="0.25">
      <c r="I25" s="123" t="s">
        <v>107</v>
      </c>
      <c r="J25" s="124" t="s">
        <v>108</v>
      </c>
      <c r="K25" s="126">
        <f>IF(K8&lt;&gt;0,K24/K8,0)</f>
        <v>-793.18799999999999</v>
      </c>
      <c r="L25" s="117"/>
    </row>
    <row r="26" spans="2:12" x14ac:dyDescent="0.25">
      <c r="I26" s="114"/>
      <c r="J26" s="115"/>
      <c r="K26" s="113"/>
      <c r="L26" s="117"/>
    </row>
    <row r="27" spans="2:12" x14ac:dyDescent="0.25">
      <c r="I27" s="114" t="s">
        <v>109</v>
      </c>
      <c r="J27" s="115" t="s">
        <v>110</v>
      </c>
      <c r="K27" s="113">
        <f>+K9+K24</f>
        <v>1706812</v>
      </c>
      <c r="L27" s="113">
        <f>+L9+L24</f>
        <v>1706812</v>
      </c>
    </row>
    <row r="28" spans="2:12" x14ac:dyDescent="0.25">
      <c r="I28" s="123" t="s">
        <v>111</v>
      </c>
      <c r="J28" s="124" t="s">
        <v>112</v>
      </c>
      <c r="K28" s="126">
        <f>IF(K8&lt;&gt;0,K27/K8,0)</f>
        <v>1706.8119999999999</v>
      </c>
      <c r="L28" s="117"/>
    </row>
    <row r="29" spans="2:12" x14ac:dyDescent="0.25">
      <c r="I29" s="114"/>
      <c r="J29" s="115"/>
      <c r="K29" s="116"/>
      <c r="L29" s="117"/>
    </row>
    <row r="30" spans="2:12" ht="15.75" x14ac:dyDescent="0.25">
      <c r="B30" s="297" t="s">
        <v>1</v>
      </c>
      <c r="C30" s="298"/>
      <c r="D30" s="298"/>
      <c r="E30" s="298"/>
      <c r="F30" s="299"/>
      <c r="I30" s="120"/>
      <c r="J30" s="121"/>
      <c r="K30" s="117"/>
      <c r="L30" s="117"/>
    </row>
    <row r="31" spans="2:12" ht="15.75" x14ac:dyDescent="0.25">
      <c r="B31" s="10"/>
      <c r="C31" s="36"/>
      <c r="D31" s="3"/>
      <c r="E31" s="3"/>
      <c r="F31" s="11"/>
      <c r="I31" s="108" t="s">
        <v>42</v>
      </c>
      <c r="J31" s="108"/>
      <c r="K31" s="109"/>
      <c r="L31" s="109"/>
    </row>
    <row r="32" spans="2:12" ht="15.75" x14ac:dyDescent="0.25">
      <c r="B32" s="5" t="s">
        <v>21</v>
      </c>
      <c r="C32" s="45"/>
      <c r="D32" s="44"/>
      <c r="E32" s="44"/>
      <c r="F32" s="64"/>
      <c r="I32" s="110" t="str">
        <f>+'Gastos Fijos'!A21</f>
        <v>Agua</v>
      </c>
      <c r="J32" s="110"/>
      <c r="K32" s="105">
        <f>-$K$8*'Gastos Fijos'!H21</f>
        <v>-25000</v>
      </c>
      <c r="L32" s="113">
        <f>SUM(K32:K32)</f>
        <v>-25000</v>
      </c>
    </row>
    <row r="33" spans="2:12" ht="15.75" x14ac:dyDescent="0.25">
      <c r="B33" s="13" t="s">
        <v>23</v>
      </c>
      <c r="C33" s="42"/>
      <c r="D33" s="71">
        <f>+Inversión!F32</f>
        <v>2500</v>
      </c>
      <c r="E33" s="39">
        <f>-D23</f>
        <v>-793.18799999999999</v>
      </c>
      <c r="F33" s="14">
        <f>+D33+E33</f>
        <v>1706.8119999999999</v>
      </c>
      <c r="I33" s="110" t="str">
        <f>+'Gastos Fijos'!A22</f>
        <v>Luz</v>
      </c>
      <c r="J33" s="110"/>
      <c r="K33" s="105">
        <f>-$K$8*'Gastos Fijos'!H22</f>
        <v>-25000</v>
      </c>
      <c r="L33" s="113">
        <f>SUM(K33:K33)</f>
        <v>-25000</v>
      </c>
    </row>
    <row r="34" spans="2:12" ht="15.75" x14ac:dyDescent="0.25">
      <c r="B34" s="10"/>
      <c r="C34" s="3"/>
      <c r="D34" s="3"/>
      <c r="E34" s="3"/>
      <c r="F34" s="11"/>
      <c r="I34" s="110" t="str">
        <f>+'Gastos Fijos'!A23</f>
        <v>Gas</v>
      </c>
      <c r="J34" s="110"/>
      <c r="K34" s="105">
        <f>-$K$8*'Gastos Fijos'!H23</f>
        <v>-25000</v>
      </c>
      <c r="L34" s="113">
        <f>SUM(K34:K34)</f>
        <v>-25000</v>
      </c>
    </row>
    <row r="35" spans="2:12" ht="15.75" x14ac:dyDescent="0.25">
      <c r="B35" s="21" t="s">
        <v>25</v>
      </c>
      <c r="C35" s="44"/>
      <c r="D35" s="72">
        <f>+F33</f>
        <v>1706.8119999999999</v>
      </c>
      <c r="E35" s="73">
        <f>+D35/D36</f>
        <v>0.68272479999999991</v>
      </c>
      <c r="F35" s="46"/>
      <c r="I35" s="110" t="str">
        <f>+'Gastos Fijos'!A24</f>
        <v>Internet-Televisión-Telefonía</v>
      </c>
      <c r="J35" s="110"/>
      <c r="K35" s="105">
        <f>-$K$8*'Gastos Fijos'!H24</f>
        <v>-20000</v>
      </c>
      <c r="L35" s="113">
        <f>SUM(K35:K35)</f>
        <v>-20000</v>
      </c>
    </row>
    <row r="36" spans="2:12" ht="15.75" x14ac:dyDescent="0.25">
      <c r="B36" s="74" t="s">
        <v>27</v>
      </c>
      <c r="C36" s="41"/>
      <c r="D36" s="75">
        <f>+C49</f>
        <v>2500</v>
      </c>
      <c r="E36" s="41"/>
      <c r="F36" s="51"/>
      <c r="I36" s="110" t="str">
        <f>+'Gastos Fijos'!A25</f>
        <v>Publicidad y Seguros</v>
      </c>
      <c r="J36" s="110"/>
      <c r="K36" s="105">
        <f>-$K$8*'Gastos Fijos'!H25</f>
        <v>-40000</v>
      </c>
      <c r="L36" s="113">
        <f>SUM(K36:K36)</f>
        <v>-40000</v>
      </c>
    </row>
    <row r="37" spans="2:12" ht="15.75" x14ac:dyDescent="0.25">
      <c r="B37" s="10"/>
      <c r="C37" s="3"/>
      <c r="D37" s="3"/>
      <c r="E37" s="3"/>
      <c r="F37" s="48"/>
      <c r="I37" s="110" t="str">
        <f>+'Gastos Fijos'!A26</f>
        <v>Arriendo</v>
      </c>
      <c r="J37" s="110"/>
      <c r="K37" s="105">
        <f>-$K$8*'Gastos Fijos'!H26</f>
        <v>-250000</v>
      </c>
      <c r="L37" s="113">
        <f t="shared" ref="L37" si="1">SUM(K37:K37)</f>
        <v>-250000</v>
      </c>
    </row>
    <row r="38" spans="2:12" ht="15.75" x14ac:dyDescent="0.25">
      <c r="B38" s="67" t="s">
        <v>26</v>
      </c>
      <c r="C38" s="17"/>
      <c r="D38" s="68">
        <f>+E35</f>
        <v>0.68272479999999991</v>
      </c>
      <c r="E38" s="3"/>
      <c r="F38" s="48"/>
      <c r="I38" s="110" t="s">
        <v>344</v>
      </c>
      <c r="J38" s="110"/>
      <c r="K38" s="105">
        <f>-Activos!AA14</f>
        <v>-10525.718948412699</v>
      </c>
      <c r="L38" s="113">
        <f>SUM(K38:K38)</f>
        <v>-10525.718948412699</v>
      </c>
    </row>
    <row r="39" spans="2:12" ht="15.75" x14ac:dyDescent="0.25">
      <c r="B39" s="69" t="s">
        <v>28</v>
      </c>
      <c r="C39" s="17"/>
      <c r="D39" s="1"/>
      <c r="E39" s="3"/>
      <c r="F39" s="48"/>
      <c r="I39" s="110" t="str">
        <f>+Inversión!A27</f>
        <v>Sueldo Cajera Administrativa</v>
      </c>
      <c r="J39" s="110"/>
      <c r="K39" s="105">
        <f>-Remus!P41</f>
        <v>-327563</v>
      </c>
      <c r="L39" s="113">
        <f>SUM(K39:K39)</f>
        <v>-327563</v>
      </c>
    </row>
    <row r="40" spans="2:12" ht="15.75" x14ac:dyDescent="0.25">
      <c r="B40" s="70" t="s">
        <v>29</v>
      </c>
      <c r="C40" s="61"/>
      <c r="D40" s="43"/>
      <c r="E40" s="41"/>
      <c r="F40" s="51"/>
    </row>
    <row r="41" spans="2:12" ht="15.75" x14ac:dyDescent="0.25">
      <c r="B41" s="3"/>
      <c r="C41" s="3"/>
      <c r="D41" s="3"/>
      <c r="E41" s="3"/>
      <c r="F41" s="7"/>
      <c r="I41" s="300"/>
      <c r="J41" s="300"/>
      <c r="K41" s="105"/>
      <c r="L41" s="112"/>
    </row>
    <row r="42" spans="2:12" ht="15.75" x14ac:dyDescent="0.25">
      <c r="B42" s="53" t="s">
        <v>30</v>
      </c>
      <c r="C42" s="88">
        <f>+K8</f>
        <v>1000</v>
      </c>
      <c r="D42" s="89"/>
      <c r="E42" s="3"/>
      <c r="F42" s="7"/>
      <c r="I42" s="123" t="s">
        <v>116</v>
      </c>
      <c r="J42" s="124" t="s">
        <v>43</v>
      </c>
      <c r="K42" s="125">
        <f>SUM(K32:K41)</f>
        <v>-723088.71894841269</v>
      </c>
      <c r="L42" s="125">
        <f>SUM(L32:L41)</f>
        <v>-723088.71894841269</v>
      </c>
    </row>
    <row r="43" spans="2:12" ht="15.75" x14ac:dyDescent="0.25">
      <c r="B43" s="10"/>
      <c r="C43" s="3"/>
      <c r="D43" s="48"/>
      <c r="E43" s="3"/>
      <c r="F43" s="7"/>
      <c r="I43" s="120"/>
      <c r="J43" s="121"/>
      <c r="K43" s="117"/>
      <c r="L43" s="117"/>
    </row>
    <row r="44" spans="2:12" ht="15.75" x14ac:dyDescent="0.25">
      <c r="B44" s="10" t="s">
        <v>31</v>
      </c>
      <c r="C44" s="36">
        <f>+D33</f>
        <v>2500</v>
      </c>
      <c r="D44" s="48"/>
      <c r="E44" s="3"/>
      <c r="F44" s="7"/>
      <c r="I44" s="130" t="s">
        <v>113</v>
      </c>
      <c r="J44" s="131" t="s">
        <v>43</v>
      </c>
      <c r="K44" s="132"/>
      <c r="L44" s="133">
        <f>+L42</f>
        <v>-723088.71894841269</v>
      </c>
    </row>
    <row r="45" spans="2:12" ht="15.75" x14ac:dyDescent="0.25">
      <c r="B45" s="10" t="s">
        <v>32</v>
      </c>
      <c r="C45" s="36">
        <f>+D23</f>
        <v>793.18799999999999</v>
      </c>
      <c r="D45" s="48"/>
      <c r="E45" s="3"/>
      <c r="F45" s="7"/>
      <c r="I45" s="114" t="s">
        <v>114</v>
      </c>
      <c r="J45" s="115" t="s">
        <v>115</v>
      </c>
      <c r="K45" s="122"/>
      <c r="L45" s="113">
        <f>+L27+L44</f>
        <v>983723.28105158731</v>
      </c>
    </row>
    <row r="46" spans="2:12" ht="15.75" x14ac:dyDescent="0.25">
      <c r="B46" s="10" t="s">
        <v>33</v>
      </c>
      <c r="C46" s="36">
        <f>+'Gastos Fijos'!D30</f>
        <v>712563</v>
      </c>
      <c r="D46" s="48"/>
      <c r="E46" s="3"/>
      <c r="F46" s="7"/>
      <c r="K46" s="159" t="s">
        <v>97</v>
      </c>
      <c r="L46" s="245">
        <f>+L45-C71</f>
        <v>0</v>
      </c>
    </row>
    <row r="47" spans="2:12" ht="15.75" x14ac:dyDescent="0.25">
      <c r="B47" s="10" t="s">
        <v>34</v>
      </c>
      <c r="C47" s="36">
        <f>+Activos!AA14</f>
        <v>10525.718948412699</v>
      </c>
      <c r="D47" s="48"/>
      <c r="E47" s="3"/>
      <c r="F47" s="7"/>
    </row>
    <row r="48" spans="2:12" ht="16.5" thickBot="1" x14ac:dyDescent="0.3">
      <c r="B48" s="10"/>
      <c r="C48" s="3"/>
      <c r="D48" s="48"/>
      <c r="E48" s="3"/>
      <c r="F48" s="7"/>
    </row>
    <row r="49" spans="2:6" ht="15.75" x14ac:dyDescent="0.25">
      <c r="B49" s="90" t="s">
        <v>36</v>
      </c>
      <c r="C49" s="91">
        <f>+C44</f>
        <v>2500</v>
      </c>
      <c r="D49" s="48"/>
      <c r="E49" s="3"/>
      <c r="F49" s="7"/>
    </row>
    <row r="50" spans="2:6" ht="15.75" x14ac:dyDescent="0.25">
      <c r="B50" s="92" t="s">
        <v>37</v>
      </c>
      <c r="C50" s="93">
        <f>+D58</f>
        <v>793.18799999999999</v>
      </c>
      <c r="D50" s="48"/>
      <c r="E50" s="3"/>
      <c r="F50" s="7"/>
    </row>
    <row r="51" spans="2:6" ht="16.5" thickBot="1" x14ac:dyDescent="0.3">
      <c r="B51" s="94" t="s">
        <v>33</v>
      </c>
      <c r="C51" s="95">
        <f>+D63</f>
        <v>723.08871894841263</v>
      </c>
      <c r="D51" s="48"/>
      <c r="E51" s="3"/>
      <c r="F51" s="7"/>
    </row>
    <row r="52" spans="2:6" ht="15.75" x14ac:dyDescent="0.25">
      <c r="B52" s="10"/>
      <c r="C52" s="3"/>
      <c r="D52" s="48"/>
      <c r="E52" s="3"/>
      <c r="F52" s="7"/>
    </row>
    <row r="53" spans="2:6" ht="15.75" x14ac:dyDescent="0.25">
      <c r="B53" s="10"/>
      <c r="C53" s="36"/>
      <c r="D53" s="48"/>
      <c r="E53" s="3"/>
      <c r="F53" s="7"/>
    </row>
    <row r="54" spans="2:6" ht="15.75" x14ac:dyDescent="0.25">
      <c r="B54" s="5" t="s">
        <v>8</v>
      </c>
      <c r="C54" s="6">
        <f>+C42</f>
        <v>1000</v>
      </c>
      <c r="D54" s="11"/>
      <c r="E54" s="3"/>
      <c r="F54" s="3"/>
    </row>
    <row r="55" spans="2:6" ht="15.75" x14ac:dyDescent="0.25">
      <c r="B55" s="5" t="s">
        <v>38</v>
      </c>
      <c r="C55" s="8" t="s">
        <v>11</v>
      </c>
      <c r="D55" s="8" t="s">
        <v>12</v>
      </c>
      <c r="E55" s="3"/>
      <c r="F55" s="3"/>
    </row>
    <row r="56" spans="2:6" ht="15.75" x14ac:dyDescent="0.25">
      <c r="B56" s="10" t="s">
        <v>39</v>
      </c>
      <c r="C56" s="11">
        <f>+D56*$C$54</f>
        <v>793188</v>
      </c>
      <c r="D56" s="11">
        <f>+C45</f>
        <v>793.18799999999999</v>
      </c>
      <c r="E56" s="3"/>
      <c r="F56" s="3"/>
    </row>
    <row r="57" spans="2:6" ht="15.75" x14ac:dyDescent="0.25">
      <c r="B57" s="13"/>
      <c r="C57" s="14"/>
      <c r="D57" s="14"/>
      <c r="E57" s="3"/>
      <c r="F57" s="3"/>
    </row>
    <row r="58" spans="2:6" ht="15.75" x14ac:dyDescent="0.25">
      <c r="B58" s="5" t="s">
        <v>11</v>
      </c>
      <c r="C58" s="15">
        <f>SUM(C56:C57)</f>
        <v>793188</v>
      </c>
      <c r="D58" s="15">
        <f>SUM(D56:D57)</f>
        <v>793.18799999999999</v>
      </c>
      <c r="E58" s="3"/>
      <c r="F58" s="3"/>
    </row>
    <row r="59" spans="2:6" ht="15.75" x14ac:dyDescent="0.25">
      <c r="B59" s="47"/>
      <c r="C59" s="17"/>
      <c r="D59" s="63"/>
      <c r="E59" s="3"/>
      <c r="F59" s="7"/>
    </row>
    <row r="60" spans="2:6" ht="15.75" x14ac:dyDescent="0.25">
      <c r="B60" s="5" t="s">
        <v>42</v>
      </c>
      <c r="C60" s="18" t="s">
        <v>11</v>
      </c>
      <c r="D60" s="9" t="s">
        <v>12</v>
      </c>
      <c r="E60" s="3"/>
      <c r="F60" s="7"/>
    </row>
    <row r="61" spans="2:6" ht="15.75" x14ac:dyDescent="0.25">
      <c r="B61" s="10" t="s">
        <v>43</v>
      </c>
      <c r="C61" s="11">
        <f>+C46+C47</f>
        <v>723088.71894841269</v>
      </c>
      <c r="D61" s="11">
        <f>+C61/C54</f>
        <v>723.08871894841263</v>
      </c>
      <c r="E61" s="3"/>
      <c r="F61" s="7"/>
    </row>
    <row r="62" spans="2:6" ht="15.75" x14ac:dyDescent="0.25">
      <c r="B62" s="13"/>
      <c r="C62" s="3"/>
      <c r="D62" s="19"/>
      <c r="E62" s="3"/>
      <c r="F62" s="7"/>
    </row>
    <row r="63" spans="2:6" ht="15.75" x14ac:dyDescent="0.25">
      <c r="B63" s="5" t="s">
        <v>11</v>
      </c>
      <c r="C63" s="15">
        <f>SUM(C60:C62)</f>
        <v>723088.71894841269</v>
      </c>
      <c r="D63" s="16">
        <f>SUM(D61:D62)</f>
        <v>723.08871894841263</v>
      </c>
      <c r="E63" s="3"/>
      <c r="F63" s="7"/>
    </row>
    <row r="64" spans="2:6" ht="15.75" x14ac:dyDescent="0.25">
      <c r="B64" s="10"/>
      <c r="C64" s="3"/>
      <c r="D64" s="11"/>
      <c r="E64" s="3"/>
      <c r="F64" s="7"/>
    </row>
    <row r="65" spans="2:6" ht="15.75" x14ac:dyDescent="0.25">
      <c r="B65" s="5" t="s">
        <v>46</v>
      </c>
      <c r="C65" s="15">
        <f>+C58+C63</f>
        <v>1516276.7189484127</v>
      </c>
      <c r="D65" s="16">
        <f>+D58+D63</f>
        <v>1516.2767189484125</v>
      </c>
      <c r="E65" s="3"/>
      <c r="F65" s="7"/>
    </row>
    <row r="66" spans="2:6" ht="15.75" x14ac:dyDescent="0.25">
      <c r="B66" s="10"/>
      <c r="C66" s="3"/>
      <c r="D66" s="48"/>
      <c r="E66" s="3"/>
      <c r="F66" s="7"/>
    </row>
    <row r="67" spans="2:6" ht="15.75" x14ac:dyDescent="0.25">
      <c r="B67" s="5" t="s">
        <v>291</v>
      </c>
      <c r="C67" s="8" t="s">
        <v>11</v>
      </c>
      <c r="D67" s="8" t="s">
        <v>47</v>
      </c>
      <c r="E67" s="3"/>
      <c r="F67" s="7"/>
    </row>
    <row r="68" spans="2:6" ht="15.75" x14ac:dyDescent="0.25">
      <c r="B68" s="10" t="s">
        <v>48</v>
      </c>
      <c r="C68" s="11">
        <f>+D68*$C$54</f>
        <v>2500000</v>
      </c>
      <c r="D68" s="11">
        <f>+C49</f>
        <v>2500</v>
      </c>
      <c r="E68" s="3"/>
      <c r="F68" s="7"/>
    </row>
    <row r="69" spans="2:6" ht="15.75" x14ac:dyDescent="0.25">
      <c r="B69" s="10" t="s">
        <v>49</v>
      </c>
      <c r="C69" s="11">
        <f t="shared" ref="C69" si="2">+D69*$C$54</f>
        <v>-793188</v>
      </c>
      <c r="D69" s="11">
        <f>-D58</f>
        <v>-793.18799999999999</v>
      </c>
      <c r="E69" s="3"/>
      <c r="F69" s="7"/>
    </row>
    <row r="70" spans="2:6" ht="15.75" x14ac:dyDescent="0.25">
      <c r="B70" s="13" t="s">
        <v>43</v>
      </c>
      <c r="C70" s="11">
        <f>+D70*$C$54</f>
        <v>-723088.71894841269</v>
      </c>
      <c r="D70" s="11">
        <f>-D63</f>
        <v>-723.08871894841263</v>
      </c>
      <c r="E70" s="3"/>
      <c r="F70" s="7"/>
    </row>
    <row r="71" spans="2:6" ht="15.75" x14ac:dyDescent="0.25">
      <c r="B71" s="5" t="s">
        <v>11</v>
      </c>
      <c r="C71" s="15">
        <f>SUM(C68:C70)</f>
        <v>983723.28105158731</v>
      </c>
      <c r="D71" s="20">
        <f>SUM(D68:D70)</f>
        <v>983.72328105158726</v>
      </c>
      <c r="E71" s="3"/>
      <c r="F71" s="7"/>
    </row>
    <row r="72" spans="2:6" ht="15.75" x14ac:dyDescent="0.25">
      <c r="B72" s="13"/>
      <c r="C72" s="41"/>
      <c r="D72" s="51"/>
      <c r="E72" s="3"/>
      <c r="F72" s="3"/>
    </row>
    <row r="74" spans="2:6" x14ac:dyDescent="0.25">
      <c r="C74" s="157" t="s">
        <v>301</v>
      </c>
      <c r="D74" s="254">
        <f>+D71/D68</f>
        <v>0.3934893124206349</v>
      </c>
    </row>
  </sheetData>
  <mergeCells count="3">
    <mergeCell ref="B30:F30"/>
    <mergeCell ref="I41:J41"/>
    <mergeCell ref="I23:J2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DDF7-5EE9-4C5E-946E-91487AED81C5}">
  <dimension ref="B6:L74"/>
  <sheetViews>
    <sheetView showGridLines="0" topLeftCell="A18" zoomScale="80" zoomScaleNormal="80" workbookViewId="0">
      <selection activeCell="D74" sqref="D74"/>
    </sheetView>
  </sheetViews>
  <sheetFormatPr baseColWidth="10" defaultRowHeight="15" x14ac:dyDescent="0.25"/>
  <cols>
    <col min="1" max="1" width="8.7109375" style="104" bestFit="1" customWidth="1"/>
    <col min="2" max="2" width="48.7109375" style="104" bestFit="1" customWidth="1"/>
    <col min="3" max="3" width="11.5703125" style="104" bestFit="1" customWidth="1"/>
    <col min="4" max="4" width="9.42578125" style="104" bestFit="1" customWidth="1"/>
    <col min="5" max="5" width="8" style="104" bestFit="1" customWidth="1"/>
    <col min="6" max="6" width="6.7109375" style="104" bestFit="1" customWidth="1"/>
    <col min="7" max="8" width="11.42578125" style="104"/>
    <col min="9" max="9" width="44.140625" style="104" bestFit="1" customWidth="1"/>
    <col min="10" max="10" width="12.28515625" style="104" bestFit="1" customWidth="1"/>
    <col min="11" max="11" width="13.42578125" style="104" bestFit="1" customWidth="1"/>
    <col min="12" max="12" width="11.28515625" style="104" bestFit="1" customWidth="1"/>
    <col min="13" max="16384" width="11.42578125" style="104"/>
  </cols>
  <sheetData>
    <row r="6" spans="2:12" ht="15.75" x14ac:dyDescent="0.25">
      <c r="B6" s="53" t="s">
        <v>285</v>
      </c>
      <c r="C6" s="55"/>
      <c r="D6" s="56"/>
      <c r="I6" s="106" t="s">
        <v>286</v>
      </c>
      <c r="J6" s="106"/>
      <c r="K6" s="107"/>
      <c r="L6" s="107"/>
    </row>
    <row r="7" spans="2:12" ht="15.75" x14ac:dyDescent="0.25">
      <c r="B7" s="47" t="s">
        <v>2</v>
      </c>
      <c r="C7" s="36"/>
      <c r="D7" s="48"/>
      <c r="I7" s="108" t="s">
        <v>119</v>
      </c>
      <c r="J7" s="108"/>
      <c r="K7" s="109" t="s">
        <v>121</v>
      </c>
      <c r="L7" s="109" t="s">
        <v>11</v>
      </c>
    </row>
    <row r="8" spans="2:12" ht="15.75" x14ac:dyDescent="0.25">
      <c r="B8" s="47" t="s">
        <v>4</v>
      </c>
      <c r="C8" s="36"/>
      <c r="D8" s="48"/>
      <c r="I8" s="110" t="s">
        <v>99</v>
      </c>
      <c r="J8" s="111" t="s">
        <v>100</v>
      </c>
      <c r="K8" s="112">
        <f>+Inversión!F14</f>
        <v>1000</v>
      </c>
      <c r="L8" s="113">
        <f>SUM(K8:K8)</f>
        <v>1000</v>
      </c>
    </row>
    <row r="9" spans="2:12" ht="15.75" x14ac:dyDescent="0.25">
      <c r="B9" s="10"/>
      <c r="C9" s="36"/>
      <c r="D9" s="48"/>
      <c r="I9" s="110" t="s">
        <v>101</v>
      </c>
      <c r="J9" s="111" t="s">
        <v>102</v>
      </c>
      <c r="K9" s="105">
        <f>+C68</f>
        <v>3000000</v>
      </c>
      <c r="L9" s="113">
        <f>SUM(K9:K9)</f>
        <v>3000000</v>
      </c>
    </row>
    <row r="10" spans="2:12" ht="15.75" x14ac:dyDescent="0.25">
      <c r="B10" s="10" t="s">
        <v>5</v>
      </c>
      <c r="C10" s="36">
        <f>+Mercaderia!H15+Mercaderia!H24</f>
        <v>325000</v>
      </c>
      <c r="D10" s="48"/>
      <c r="I10" s="110"/>
      <c r="J10" s="111"/>
      <c r="K10" s="105"/>
      <c r="L10" s="112"/>
    </row>
    <row r="11" spans="2:12" ht="15.75" x14ac:dyDescent="0.25">
      <c r="B11" s="10" t="s">
        <v>95</v>
      </c>
      <c r="C11" s="36">
        <f>+Remus!M41+Honorarios!L12</f>
        <v>507563</v>
      </c>
      <c r="D11" s="48"/>
      <c r="I11" s="114" t="s">
        <v>103</v>
      </c>
      <c r="J11" s="115" t="s">
        <v>104</v>
      </c>
      <c r="K11" s="116">
        <f>IF(K9&lt;&gt;0,K9/K8,0)</f>
        <v>3000</v>
      </c>
      <c r="L11" s="117"/>
    </row>
    <row r="12" spans="2:12" ht="15.75" x14ac:dyDescent="0.25">
      <c r="B12" s="10" t="s">
        <v>6</v>
      </c>
      <c r="C12" s="36">
        <f>+Mercaderia!H34</f>
        <v>100000</v>
      </c>
      <c r="D12" s="48"/>
      <c r="I12" s="118"/>
      <c r="J12" s="118"/>
      <c r="K12" s="119"/>
      <c r="L12" s="119"/>
    </row>
    <row r="13" spans="2:12" ht="15.75" x14ac:dyDescent="0.25">
      <c r="B13" s="10"/>
      <c r="C13" s="36"/>
      <c r="D13" s="48"/>
      <c r="I13" s="108" t="s">
        <v>105</v>
      </c>
      <c r="J13" s="108"/>
      <c r="K13" s="109"/>
      <c r="L13" s="109"/>
    </row>
    <row r="14" spans="2:12" ht="15.75" x14ac:dyDescent="0.25">
      <c r="B14" s="10"/>
      <c r="C14" s="36"/>
      <c r="D14" s="48"/>
      <c r="I14" s="129" t="str">
        <f>+Mercaderia!B10</f>
        <v>Café Instantaneo</v>
      </c>
      <c r="J14" s="129"/>
      <c r="K14" s="105">
        <f>-$K$8*Mercaderia!O9</f>
        <v>-180000</v>
      </c>
      <c r="L14" s="113">
        <f t="shared" ref="L14:L21" si="0">SUM(K14:K14)</f>
        <v>-180000</v>
      </c>
    </row>
    <row r="15" spans="2:12" ht="15.75" x14ac:dyDescent="0.25">
      <c r="B15" s="138" t="s">
        <v>7</v>
      </c>
      <c r="C15" s="139">
        <f>+Inversión!F13</f>
        <v>1000</v>
      </c>
      <c r="D15" s="48"/>
      <c r="I15" s="129" t="str">
        <f>+Mercaderia!B11</f>
        <v>Azucar</v>
      </c>
      <c r="J15" s="129"/>
      <c r="K15" s="105">
        <f>-$K$8*Mercaderia!O10</f>
        <v>-5000</v>
      </c>
      <c r="L15" s="113">
        <f t="shared" si="0"/>
        <v>-5000</v>
      </c>
    </row>
    <row r="16" spans="2:12" ht="15.75" x14ac:dyDescent="0.25">
      <c r="B16" s="10"/>
      <c r="C16" s="3"/>
      <c r="D16" s="48"/>
      <c r="I16" s="129" t="str">
        <f>+Mercaderia!B20</f>
        <v>Leche</v>
      </c>
      <c r="J16" s="129"/>
      <c r="K16" s="105">
        <f>-$K$8*Mercaderia!O19</f>
        <v>-200000</v>
      </c>
      <c r="L16" s="113">
        <f t="shared" si="0"/>
        <v>-200000</v>
      </c>
    </row>
    <row r="17" spans="2:12" ht="15.75" x14ac:dyDescent="0.25">
      <c r="B17" s="5" t="s">
        <v>8</v>
      </c>
      <c r="C17" s="6">
        <f>+C15</f>
        <v>1000</v>
      </c>
      <c r="D17" s="48"/>
      <c r="I17" s="129" t="str">
        <f>+Mercaderia!B21</f>
        <v>Endulzantes</v>
      </c>
      <c r="J17" s="129"/>
      <c r="K17" s="105">
        <f>-$K$8*Mercaderia!O20</f>
        <v>-625</v>
      </c>
      <c r="L17" s="113">
        <f t="shared" si="0"/>
        <v>-625</v>
      </c>
    </row>
    <row r="18" spans="2:12" ht="15.75" x14ac:dyDescent="0.25">
      <c r="B18" s="5" t="s">
        <v>10</v>
      </c>
      <c r="C18" s="8" t="s">
        <v>11</v>
      </c>
      <c r="D18" s="9" t="s">
        <v>12</v>
      </c>
      <c r="I18" s="129" t="str">
        <f>+Mercaderia!B30</f>
        <v>Vase Desechable</v>
      </c>
      <c r="J18" s="129"/>
      <c r="K18" s="105">
        <f>-$K$8*Mercaderia!O29</f>
        <v>-40000</v>
      </c>
      <c r="L18" s="113">
        <f t="shared" si="0"/>
        <v>-40000</v>
      </c>
    </row>
    <row r="19" spans="2:12" ht="15.75" x14ac:dyDescent="0.25">
      <c r="B19" s="10" t="s">
        <v>14</v>
      </c>
      <c r="C19" s="11">
        <f>+C10</f>
        <v>325000</v>
      </c>
      <c r="D19" s="12">
        <f>+Mercaderia!O12+Mercaderia!O22</f>
        <v>385.625</v>
      </c>
      <c r="I19" s="129" t="str">
        <f>+Mercaderia!B31</f>
        <v>Servilletas</v>
      </c>
      <c r="J19" s="129"/>
      <c r="K19" s="105">
        <f>-$K$8*Mercaderia!O30</f>
        <v>-20000</v>
      </c>
      <c r="L19" s="113">
        <f t="shared" si="0"/>
        <v>-20000</v>
      </c>
    </row>
    <row r="20" spans="2:12" ht="15.75" x14ac:dyDescent="0.25">
      <c r="B20" s="10" t="s">
        <v>96</v>
      </c>
      <c r="C20" s="11">
        <f>+C11</f>
        <v>507563</v>
      </c>
      <c r="D20" s="12">
        <f>(C20/$C$15)</f>
        <v>507.56299999999999</v>
      </c>
      <c r="I20" s="129" t="str">
        <f>+Mercaderia!B32</f>
        <v>Cucharitas</v>
      </c>
      <c r="J20" s="129"/>
      <c r="K20" s="105">
        <f>-$K$8*Mercaderia!O31</f>
        <v>-40000</v>
      </c>
      <c r="L20" s="113">
        <f t="shared" si="0"/>
        <v>-40000</v>
      </c>
    </row>
    <row r="21" spans="2:12" ht="15.75" x14ac:dyDescent="0.25">
      <c r="B21" s="10" t="s">
        <v>16</v>
      </c>
      <c r="C21" s="11">
        <f>+C12</f>
        <v>100000</v>
      </c>
      <c r="D21" s="12">
        <f>(C21/$C$15)</f>
        <v>100</v>
      </c>
      <c r="I21" s="129" t="str">
        <f>+Inversión!A26</f>
        <v>Sueldo Barista</v>
      </c>
      <c r="J21" s="129"/>
      <c r="K21" s="105">
        <f>-D20*K8</f>
        <v>-507563</v>
      </c>
      <c r="L21" s="113">
        <f t="shared" si="0"/>
        <v>-507563</v>
      </c>
    </row>
    <row r="22" spans="2:12" ht="15.75" x14ac:dyDescent="0.25">
      <c r="B22" s="13"/>
      <c r="C22" s="14"/>
      <c r="D22" s="12"/>
      <c r="I22" s="129"/>
      <c r="J22" s="129"/>
      <c r="K22" s="105"/>
      <c r="L22" s="113"/>
    </row>
    <row r="23" spans="2:12" ht="15.75" x14ac:dyDescent="0.25">
      <c r="B23" s="5" t="s">
        <v>11</v>
      </c>
      <c r="C23" s="15">
        <f>SUM(C19:C22)</f>
        <v>932563</v>
      </c>
      <c r="D23" s="16">
        <f>SUM(D19:D21)</f>
        <v>993.18799999999999</v>
      </c>
      <c r="I23" s="300"/>
      <c r="J23" s="300"/>
      <c r="K23" s="105"/>
      <c r="L23" s="112"/>
    </row>
    <row r="24" spans="2:12" ht="15.75" x14ac:dyDescent="0.25">
      <c r="B24" s="60"/>
      <c r="C24" s="61"/>
      <c r="D24" s="62"/>
      <c r="I24" s="123" t="s">
        <v>106</v>
      </c>
      <c r="J24" s="124" t="s">
        <v>49</v>
      </c>
      <c r="K24" s="125">
        <f>SUM(K14:K22)</f>
        <v>-993188</v>
      </c>
      <c r="L24" s="125">
        <f>SUM(L14:L22)</f>
        <v>-993188</v>
      </c>
    </row>
    <row r="25" spans="2:12" x14ac:dyDescent="0.25">
      <c r="I25" s="123" t="s">
        <v>107</v>
      </c>
      <c r="J25" s="124" t="s">
        <v>108</v>
      </c>
      <c r="K25" s="126">
        <f>IF(K8&lt;&gt;0,K24/K8,0)</f>
        <v>-993.18799999999999</v>
      </c>
      <c r="L25" s="117"/>
    </row>
    <row r="26" spans="2:12" x14ac:dyDescent="0.25">
      <c r="I26" s="114"/>
      <c r="J26" s="115"/>
      <c r="K26" s="113"/>
      <c r="L26" s="117"/>
    </row>
    <row r="27" spans="2:12" x14ac:dyDescent="0.25">
      <c r="I27" s="114" t="s">
        <v>109</v>
      </c>
      <c r="J27" s="115" t="s">
        <v>110</v>
      </c>
      <c r="K27" s="113">
        <f>+K9+K24</f>
        <v>2006812</v>
      </c>
      <c r="L27" s="113">
        <f>+L9+L24</f>
        <v>2006812</v>
      </c>
    </row>
    <row r="28" spans="2:12" x14ac:dyDescent="0.25">
      <c r="I28" s="123" t="s">
        <v>111</v>
      </c>
      <c r="J28" s="124" t="s">
        <v>112</v>
      </c>
      <c r="K28" s="126">
        <f>IF(K8&lt;&gt;0,K27/K8,0)</f>
        <v>2006.8119999999999</v>
      </c>
      <c r="L28" s="117"/>
    </row>
    <row r="29" spans="2:12" x14ac:dyDescent="0.25">
      <c r="I29" s="114"/>
      <c r="J29" s="115"/>
      <c r="K29" s="116"/>
      <c r="L29" s="117"/>
    </row>
    <row r="30" spans="2:12" ht="15.75" x14ac:dyDescent="0.25">
      <c r="B30" s="297" t="s">
        <v>1</v>
      </c>
      <c r="C30" s="298"/>
      <c r="D30" s="298"/>
      <c r="E30" s="298"/>
      <c r="F30" s="299"/>
      <c r="I30" s="120"/>
      <c r="J30" s="121"/>
      <c r="K30" s="117"/>
      <c r="L30" s="117"/>
    </row>
    <row r="31" spans="2:12" ht="15.75" x14ac:dyDescent="0.25">
      <c r="B31" s="10"/>
      <c r="C31" s="36"/>
      <c r="D31" s="3"/>
      <c r="E31" s="3"/>
      <c r="F31" s="11"/>
      <c r="I31" s="108" t="s">
        <v>42</v>
      </c>
      <c r="J31" s="108"/>
      <c r="K31" s="109"/>
      <c r="L31" s="109"/>
    </row>
    <row r="32" spans="2:12" ht="15.75" x14ac:dyDescent="0.25">
      <c r="B32" s="5" t="s">
        <v>21</v>
      </c>
      <c r="C32" s="45"/>
      <c r="D32" s="44"/>
      <c r="E32" s="44"/>
      <c r="F32" s="64"/>
      <c r="I32" s="110" t="str">
        <f>+'Costo Prod 1'!I32</f>
        <v>Agua</v>
      </c>
      <c r="J32" s="110"/>
      <c r="K32" s="105">
        <f>-$K$8*'Gastos Fijos'!H21</f>
        <v>-25000</v>
      </c>
      <c r="L32" s="113">
        <f>SUM(K32:K32)</f>
        <v>-25000</v>
      </c>
    </row>
    <row r="33" spans="2:12" ht="15.75" x14ac:dyDescent="0.25">
      <c r="B33" s="13" t="s">
        <v>23</v>
      </c>
      <c r="C33" s="42"/>
      <c r="D33" s="71">
        <f>+Inversión!F33</f>
        <v>3000</v>
      </c>
      <c r="E33" s="39">
        <f>-D23</f>
        <v>-993.18799999999999</v>
      </c>
      <c r="F33" s="14">
        <f>+D33+E33</f>
        <v>2006.8119999999999</v>
      </c>
      <c r="I33" s="110" t="str">
        <f>+'Costo Prod 1'!I33</f>
        <v>Luz</v>
      </c>
      <c r="J33" s="110"/>
      <c r="K33" s="105">
        <f>-$K$8*'Gastos Fijos'!H22</f>
        <v>-25000</v>
      </c>
      <c r="L33" s="113">
        <f>SUM(K33:K33)</f>
        <v>-25000</v>
      </c>
    </row>
    <row r="34" spans="2:12" ht="15.75" x14ac:dyDescent="0.25">
      <c r="B34" s="10"/>
      <c r="C34" s="3"/>
      <c r="D34" s="3"/>
      <c r="E34" s="3"/>
      <c r="F34" s="11"/>
      <c r="I34" s="110" t="str">
        <f>+'Costo Prod 1'!I34</f>
        <v>Gas</v>
      </c>
      <c r="J34" s="110"/>
      <c r="K34" s="105">
        <f>-$K$8*'Gastos Fijos'!H23</f>
        <v>-25000</v>
      </c>
      <c r="L34" s="113">
        <f>SUM(K34:K34)</f>
        <v>-25000</v>
      </c>
    </row>
    <row r="35" spans="2:12" ht="15.75" x14ac:dyDescent="0.25">
      <c r="B35" s="21" t="s">
        <v>25</v>
      </c>
      <c r="C35" s="44"/>
      <c r="D35" s="72">
        <f>+F33</f>
        <v>2006.8119999999999</v>
      </c>
      <c r="E35" s="73">
        <f>+D35/D36</f>
        <v>0.66893733333333327</v>
      </c>
      <c r="F35" s="46"/>
      <c r="I35" s="110" t="str">
        <f>+'Costo Prod 1'!I35</f>
        <v>Internet-Televisión-Telefonía</v>
      </c>
      <c r="J35" s="110"/>
      <c r="K35" s="105">
        <f>-$K$8*'Gastos Fijos'!H24</f>
        <v>-20000</v>
      </c>
      <c r="L35" s="113">
        <f>SUM(K35:K35)</f>
        <v>-20000</v>
      </c>
    </row>
    <row r="36" spans="2:12" ht="15.75" x14ac:dyDescent="0.25">
      <c r="B36" s="74" t="s">
        <v>27</v>
      </c>
      <c r="C36" s="41"/>
      <c r="D36" s="75">
        <f>+C49</f>
        <v>3000</v>
      </c>
      <c r="E36" s="41"/>
      <c r="F36" s="51"/>
      <c r="I36" s="110" t="str">
        <f>+'Costo Prod 1'!I36</f>
        <v>Publicidad y Seguros</v>
      </c>
      <c r="J36" s="110"/>
      <c r="K36" s="105">
        <f>-$K$8*'Gastos Fijos'!H25</f>
        <v>-40000</v>
      </c>
      <c r="L36" s="113">
        <f>SUM(K36:K36)</f>
        <v>-40000</v>
      </c>
    </row>
    <row r="37" spans="2:12" ht="15.75" x14ac:dyDescent="0.25">
      <c r="B37" s="10"/>
      <c r="C37" s="3"/>
      <c r="D37" s="3"/>
      <c r="E37" s="3"/>
      <c r="F37" s="48"/>
      <c r="I37" s="110" t="str">
        <f>+'Costo Prod 1'!I37</f>
        <v>Arriendo</v>
      </c>
      <c r="J37" s="110"/>
      <c r="K37" s="105">
        <f>-$K$8*'Gastos Fijos'!H26</f>
        <v>-250000</v>
      </c>
      <c r="L37" s="113">
        <f t="shared" ref="L37" si="1">SUM(K37:K37)</f>
        <v>-250000</v>
      </c>
    </row>
    <row r="38" spans="2:12" ht="15.75" x14ac:dyDescent="0.25">
      <c r="B38" s="67" t="s">
        <v>26</v>
      </c>
      <c r="C38" s="17"/>
      <c r="D38" s="68">
        <f>+E35</f>
        <v>0.66893733333333327</v>
      </c>
      <c r="E38" s="3"/>
      <c r="F38" s="48"/>
      <c r="I38" s="110" t="str">
        <f>+'Costo Prod 1'!I38</f>
        <v>Depreciaciones</v>
      </c>
      <c r="J38" s="110"/>
      <c r="K38" s="105">
        <f>-Activos!AA14</f>
        <v>-10525.718948412699</v>
      </c>
      <c r="L38" s="113">
        <f>SUM(K38:K38)</f>
        <v>-10525.718948412699</v>
      </c>
    </row>
    <row r="39" spans="2:12" ht="15.75" x14ac:dyDescent="0.25">
      <c r="B39" s="69" t="s">
        <v>28</v>
      </c>
      <c r="C39" s="17"/>
      <c r="D39" s="1"/>
      <c r="E39" s="3"/>
      <c r="F39" s="48"/>
      <c r="I39" s="110" t="str">
        <f>+'Costo Prod 1'!I39</f>
        <v>Sueldo Cajera Administrativa</v>
      </c>
      <c r="J39" s="110"/>
      <c r="K39" s="105">
        <f>-Remus!P41</f>
        <v>-327563</v>
      </c>
      <c r="L39" s="113">
        <f>SUM(K39:K39)</f>
        <v>-327563</v>
      </c>
    </row>
    <row r="40" spans="2:12" ht="15.75" x14ac:dyDescent="0.25">
      <c r="B40" s="70" t="s">
        <v>29</v>
      </c>
      <c r="C40" s="61"/>
      <c r="D40" s="43"/>
      <c r="E40" s="41"/>
      <c r="F40" s="51"/>
      <c r="I40" s="110"/>
      <c r="J40" s="110"/>
    </row>
    <row r="41" spans="2:12" ht="15.75" x14ac:dyDescent="0.25">
      <c r="B41" s="3"/>
      <c r="C41" s="3"/>
      <c r="D41" s="3"/>
      <c r="E41" s="3"/>
      <c r="F41" s="7"/>
      <c r="I41" s="300"/>
      <c r="J41" s="300"/>
      <c r="K41" s="105"/>
      <c r="L41" s="112"/>
    </row>
    <row r="42" spans="2:12" ht="15.75" x14ac:dyDescent="0.25">
      <c r="B42" s="53" t="s">
        <v>30</v>
      </c>
      <c r="C42" s="88">
        <f>+K8</f>
        <v>1000</v>
      </c>
      <c r="D42" s="89"/>
      <c r="E42" s="3"/>
      <c r="F42" s="7"/>
      <c r="I42" s="123" t="s">
        <v>116</v>
      </c>
      <c r="J42" s="124" t="s">
        <v>43</v>
      </c>
      <c r="K42" s="125">
        <f>SUM(K32:K39)</f>
        <v>-723088.71894841269</v>
      </c>
      <c r="L42" s="125">
        <f>SUM(L32:L39)</f>
        <v>-723088.71894841269</v>
      </c>
    </row>
    <row r="43" spans="2:12" ht="15.75" x14ac:dyDescent="0.25">
      <c r="B43" s="10"/>
      <c r="C43" s="3"/>
      <c r="D43" s="48"/>
      <c r="E43" s="3"/>
      <c r="F43" s="7"/>
      <c r="I43" s="120"/>
      <c r="J43" s="121"/>
      <c r="K43" s="117"/>
      <c r="L43" s="117"/>
    </row>
    <row r="44" spans="2:12" ht="15.75" x14ac:dyDescent="0.25">
      <c r="B44" s="10" t="s">
        <v>31</v>
      </c>
      <c r="C44" s="36">
        <f>+D33</f>
        <v>3000</v>
      </c>
      <c r="D44" s="48"/>
      <c r="E44" s="3"/>
      <c r="F44" s="7"/>
      <c r="I44" s="130" t="s">
        <v>113</v>
      </c>
      <c r="J44" s="131" t="s">
        <v>43</v>
      </c>
      <c r="K44" s="132"/>
      <c r="L44" s="133">
        <f>+L42</f>
        <v>-723088.71894841269</v>
      </c>
    </row>
    <row r="45" spans="2:12" ht="15.75" x14ac:dyDescent="0.25">
      <c r="B45" s="10" t="s">
        <v>32</v>
      </c>
      <c r="C45" s="36">
        <f>+D23</f>
        <v>993.18799999999999</v>
      </c>
      <c r="D45" s="48"/>
      <c r="E45" s="3"/>
      <c r="F45" s="7"/>
      <c r="I45" s="114" t="s">
        <v>114</v>
      </c>
      <c r="J45" s="115" t="s">
        <v>115</v>
      </c>
      <c r="K45" s="122"/>
      <c r="L45" s="113">
        <f>+L27+L44</f>
        <v>1283723.2810515873</v>
      </c>
    </row>
    <row r="46" spans="2:12" ht="15.75" x14ac:dyDescent="0.25">
      <c r="B46" s="10" t="s">
        <v>33</v>
      </c>
      <c r="C46" s="36">
        <f>+'Gastos Fijos'!D30</f>
        <v>712563</v>
      </c>
      <c r="D46" s="48"/>
      <c r="E46" s="3"/>
      <c r="F46" s="7"/>
      <c r="K46" s="159" t="s">
        <v>97</v>
      </c>
      <c r="L46" s="245">
        <f>+L45-C71</f>
        <v>0</v>
      </c>
    </row>
    <row r="47" spans="2:12" ht="15.75" x14ac:dyDescent="0.25">
      <c r="B47" s="10" t="s">
        <v>34</v>
      </c>
      <c r="C47" s="36">
        <f>+Activos!AA14</f>
        <v>10525.718948412699</v>
      </c>
      <c r="D47" s="48"/>
      <c r="E47" s="3"/>
      <c r="F47" s="7"/>
    </row>
    <row r="48" spans="2:12" ht="16.5" thickBot="1" x14ac:dyDescent="0.3">
      <c r="B48" s="10"/>
      <c r="C48" s="3"/>
      <c r="D48" s="48"/>
      <c r="E48" s="3"/>
      <c r="F48" s="7"/>
    </row>
    <row r="49" spans="2:6" ht="15.75" x14ac:dyDescent="0.25">
      <c r="B49" s="90" t="s">
        <v>36</v>
      </c>
      <c r="C49" s="91">
        <f>+C44</f>
        <v>3000</v>
      </c>
      <c r="D49" s="48"/>
      <c r="E49" s="3"/>
      <c r="F49" s="7"/>
    </row>
    <row r="50" spans="2:6" ht="15.75" x14ac:dyDescent="0.25">
      <c r="B50" s="92" t="s">
        <v>37</v>
      </c>
      <c r="C50" s="93">
        <f>+D58</f>
        <v>993.18799999999999</v>
      </c>
      <c r="D50" s="48"/>
      <c r="E50" s="3"/>
      <c r="F50" s="7"/>
    </row>
    <row r="51" spans="2:6" ht="16.5" thickBot="1" x14ac:dyDescent="0.3">
      <c r="B51" s="94" t="s">
        <v>33</v>
      </c>
      <c r="C51" s="95">
        <f>+D63</f>
        <v>723.08871894841263</v>
      </c>
      <c r="D51" s="48"/>
      <c r="E51" s="3"/>
      <c r="F51" s="7"/>
    </row>
    <row r="52" spans="2:6" ht="15.75" x14ac:dyDescent="0.25">
      <c r="B52" s="10"/>
      <c r="C52" s="3"/>
      <c r="D52" s="48"/>
      <c r="E52" s="3"/>
      <c r="F52" s="7"/>
    </row>
    <row r="53" spans="2:6" ht="15.75" x14ac:dyDescent="0.25">
      <c r="B53" s="10"/>
      <c r="C53" s="36"/>
      <c r="D53" s="48"/>
      <c r="E53" s="3"/>
      <c r="F53" s="7"/>
    </row>
    <row r="54" spans="2:6" ht="15.75" x14ac:dyDescent="0.25">
      <c r="B54" s="5" t="s">
        <v>8</v>
      </c>
      <c r="C54" s="6">
        <f>+C42</f>
        <v>1000</v>
      </c>
      <c r="D54" s="11"/>
      <c r="E54" s="3"/>
      <c r="F54" s="3"/>
    </row>
    <row r="55" spans="2:6" ht="15.75" x14ac:dyDescent="0.25">
      <c r="B55" s="5" t="s">
        <v>38</v>
      </c>
      <c r="C55" s="8" t="s">
        <v>11</v>
      </c>
      <c r="D55" s="8" t="s">
        <v>12</v>
      </c>
      <c r="E55" s="3"/>
      <c r="F55" s="3"/>
    </row>
    <row r="56" spans="2:6" ht="15.75" x14ac:dyDescent="0.25">
      <c r="B56" s="10" t="s">
        <v>39</v>
      </c>
      <c r="C56" s="11">
        <f>+D56*$C$54</f>
        <v>993188</v>
      </c>
      <c r="D56" s="11">
        <f>+C45</f>
        <v>993.18799999999999</v>
      </c>
      <c r="E56" s="3"/>
      <c r="F56" s="3"/>
    </row>
    <row r="57" spans="2:6" ht="15.75" x14ac:dyDescent="0.25">
      <c r="B57" s="13"/>
      <c r="C57" s="14"/>
      <c r="D57" s="14"/>
      <c r="E57" s="3"/>
      <c r="F57" s="3"/>
    </row>
    <row r="58" spans="2:6" ht="15.75" x14ac:dyDescent="0.25">
      <c r="B58" s="5" t="s">
        <v>11</v>
      </c>
      <c r="C58" s="15">
        <f>SUM(C56:C57)</f>
        <v>993188</v>
      </c>
      <c r="D58" s="15">
        <f>SUM(D56:D57)</f>
        <v>993.18799999999999</v>
      </c>
      <c r="E58" s="3"/>
      <c r="F58" s="3"/>
    </row>
    <row r="59" spans="2:6" ht="15.75" x14ac:dyDescent="0.25">
      <c r="B59" s="47"/>
      <c r="C59" s="17"/>
      <c r="D59" s="63"/>
      <c r="E59" s="3"/>
      <c r="F59" s="7"/>
    </row>
    <row r="60" spans="2:6" ht="15.75" x14ac:dyDescent="0.25">
      <c r="B60" s="5" t="s">
        <v>42</v>
      </c>
      <c r="C60" s="18" t="s">
        <v>11</v>
      </c>
      <c r="D60" s="9" t="s">
        <v>12</v>
      </c>
      <c r="E60" s="3"/>
      <c r="F60" s="7"/>
    </row>
    <row r="61" spans="2:6" ht="15.75" x14ac:dyDescent="0.25">
      <c r="B61" s="10" t="s">
        <v>43</v>
      </c>
      <c r="C61" s="11">
        <f>+C46+C47</f>
        <v>723088.71894841269</v>
      </c>
      <c r="D61" s="11">
        <f>+C61/C54</f>
        <v>723.08871894841263</v>
      </c>
      <c r="E61" s="3"/>
      <c r="F61" s="7"/>
    </row>
    <row r="62" spans="2:6" ht="15.75" x14ac:dyDescent="0.25">
      <c r="B62" s="13"/>
      <c r="C62" s="3"/>
      <c r="D62" s="19"/>
      <c r="E62" s="3"/>
      <c r="F62" s="7"/>
    </row>
    <row r="63" spans="2:6" ht="15.75" x14ac:dyDescent="0.25">
      <c r="B63" s="5" t="s">
        <v>11</v>
      </c>
      <c r="C63" s="15">
        <f>SUM(C60:C62)</f>
        <v>723088.71894841269</v>
      </c>
      <c r="D63" s="16">
        <f>SUM(D61:D62)</f>
        <v>723.08871894841263</v>
      </c>
      <c r="E63" s="3"/>
      <c r="F63" s="7"/>
    </row>
    <row r="64" spans="2:6" ht="15.75" x14ac:dyDescent="0.25">
      <c r="B64" s="10"/>
      <c r="C64" s="3"/>
      <c r="D64" s="11"/>
      <c r="E64" s="3"/>
      <c r="F64" s="7"/>
    </row>
    <row r="65" spans="2:6" ht="15.75" x14ac:dyDescent="0.25">
      <c r="B65" s="5" t="s">
        <v>46</v>
      </c>
      <c r="C65" s="15">
        <f>+C58+C63</f>
        <v>1716276.7189484127</v>
      </c>
      <c r="D65" s="16">
        <f>+D58+D63</f>
        <v>1716.2767189484125</v>
      </c>
      <c r="E65" s="3"/>
      <c r="F65" s="7"/>
    </row>
    <row r="66" spans="2:6" ht="15.75" x14ac:dyDescent="0.25">
      <c r="B66" s="10"/>
      <c r="C66" s="3"/>
      <c r="D66" s="48"/>
      <c r="E66" s="3"/>
      <c r="F66" s="7"/>
    </row>
    <row r="67" spans="2:6" ht="15.75" x14ac:dyDescent="0.25">
      <c r="B67" s="5" t="s">
        <v>291</v>
      </c>
      <c r="C67" s="8" t="s">
        <v>11</v>
      </c>
      <c r="D67" s="8" t="s">
        <v>47</v>
      </c>
      <c r="E67" s="3"/>
      <c r="F67" s="7"/>
    </row>
    <row r="68" spans="2:6" ht="15.75" x14ac:dyDescent="0.25">
      <c r="B68" s="10" t="s">
        <v>48</v>
      </c>
      <c r="C68" s="11">
        <f>+D68*$C$54</f>
        <v>3000000</v>
      </c>
      <c r="D68" s="11">
        <f>+C49</f>
        <v>3000</v>
      </c>
      <c r="E68" s="3"/>
      <c r="F68" s="7"/>
    </row>
    <row r="69" spans="2:6" ht="15.75" x14ac:dyDescent="0.25">
      <c r="B69" s="10" t="s">
        <v>49</v>
      </c>
      <c r="C69" s="11">
        <f t="shared" ref="C69" si="2">+D69*$C$54</f>
        <v>-993188</v>
      </c>
      <c r="D69" s="11">
        <f>-D58</f>
        <v>-993.18799999999999</v>
      </c>
      <c r="E69" s="3"/>
      <c r="F69" s="7"/>
    </row>
    <row r="70" spans="2:6" ht="15.75" x14ac:dyDescent="0.25">
      <c r="B70" s="13" t="s">
        <v>43</v>
      </c>
      <c r="C70" s="11">
        <f>+D70*$C$54</f>
        <v>-723088.71894841269</v>
      </c>
      <c r="D70" s="11">
        <f>-D63</f>
        <v>-723.08871894841263</v>
      </c>
      <c r="E70" s="3"/>
      <c r="F70" s="7"/>
    </row>
    <row r="71" spans="2:6" ht="15.75" x14ac:dyDescent="0.25">
      <c r="B71" s="5" t="s">
        <v>11</v>
      </c>
      <c r="C71" s="15">
        <f>SUM(C68:C70)</f>
        <v>1283723.2810515873</v>
      </c>
      <c r="D71" s="20">
        <f>SUM(D68:D70)</f>
        <v>1283.7232810515873</v>
      </c>
      <c r="E71" s="3"/>
      <c r="F71" s="7"/>
    </row>
    <row r="72" spans="2:6" ht="15.75" x14ac:dyDescent="0.25">
      <c r="B72" s="13"/>
      <c r="C72" s="41"/>
      <c r="D72" s="51"/>
      <c r="E72" s="3"/>
      <c r="F72" s="3"/>
    </row>
    <row r="74" spans="2:6" x14ac:dyDescent="0.25">
      <c r="C74" s="157" t="s">
        <v>300</v>
      </c>
      <c r="D74" s="254">
        <f>+D71/D68</f>
        <v>0.42790776035052908</v>
      </c>
    </row>
  </sheetData>
  <mergeCells count="3">
    <mergeCell ref="I23:J23"/>
    <mergeCell ref="B30:F30"/>
    <mergeCell ref="I41:J41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CC46-9E7B-428D-9463-1C37DDD8BD34}">
  <dimension ref="B6:H56"/>
  <sheetViews>
    <sheetView showGridLines="0" zoomScale="80" zoomScaleNormal="80" workbookViewId="0">
      <pane ySplit="7" topLeftCell="A23" activePane="bottomLeft" state="frozen"/>
      <selection pane="bottomLeft" activeCell="H55" sqref="H55"/>
    </sheetView>
  </sheetViews>
  <sheetFormatPr baseColWidth="10" defaultRowHeight="15" x14ac:dyDescent="0.25"/>
  <cols>
    <col min="1" max="1" width="6.42578125" style="104" customWidth="1"/>
    <col min="2" max="2" width="42.28515625" style="104" bestFit="1" customWidth="1"/>
    <col min="3" max="3" width="12" style="104" bestFit="1" customWidth="1"/>
    <col min="4" max="6" width="15.5703125" style="104" bestFit="1" customWidth="1"/>
    <col min="7" max="7" width="18.140625" style="104" bestFit="1" customWidth="1"/>
    <col min="8" max="8" width="15.28515625" style="104" bestFit="1" customWidth="1"/>
    <col min="9" max="16384" width="11.42578125" style="104"/>
  </cols>
  <sheetData>
    <row r="6" spans="2:8" x14ac:dyDescent="0.25">
      <c r="B6" s="106" t="s">
        <v>287</v>
      </c>
      <c r="C6" s="106"/>
      <c r="D6" s="107"/>
      <c r="E6" s="107"/>
      <c r="F6" s="107"/>
      <c r="G6" s="107"/>
      <c r="H6" s="310" t="s">
        <v>351</v>
      </c>
    </row>
    <row r="7" spans="2:8" x14ac:dyDescent="0.25">
      <c r="B7" s="108" t="s">
        <v>119</v>
      </c>
      <c r="C7" s="108"/>
      <c r="D7" s="109" t="str">
        <f>+'Costo Prod 1'!K7</f>
        <v>Café Normal</v>
      </c>
      <c r="E7" s="109" t="str">
        <f>+'Costo Prod 2'!K7</f>
        <v>Café con Leche</v>
      </c>
      <c r="F7" s="109"/>
      <c r="G7" s="109"/>
      <c r="H7" s="109" t="s">
        <v>11</v>
      </c>
    </row>
    <row r="8" spans="2:8" x14ac:dyDescent="0.25">
      <c r="B8" s="110" t="s">
        <v>99</v>
      </c>
      <c r="C8" s="111" t="s">
        <v>100</v>
      </c>
      <c r="D8" s="112">
        <f>+'Costo Prod 1'!L8</f>
        <v>1000</v>
      </c>
      <c r="E8" s="112">
        <f>+'Costo Prod 2'!L8</f>
        <v>1000</v>
      </c>
      <c r="F8" s="112"/>
      <c r="G8" s="112"/>
      <c r="H8" s="113">
        <f>+AVERAGE(D8:G8)</f>
        <v>1000</v>
      </c>
    </row>
    <row r="9" spans="2:8" x14ac:dyDescent="0.25">
      <c r="B9" s="110" t="s">
        <v>27</v>
      </c>
      <c r="C9" s="111" t="s">
        <v>100</v>
      </c>
      <c r="D9" s="112">
        <f>+'Costo Prod 1'!C44</f>
        <v>2500</v>
      </c>
      <c r="E9" s="112">
        <f>+'Costo Prod 2'!C44</f>
        <v>3000</v>
      </c>
      <c r="F9" s="112"/>
      <c r="G9" s="112"/>
      <c r="H9" s="113">
        <f t="shared" ref="H9:H11" si="0">+AVERAGE(D9:G9)</f>
        <v>2750</v>
      </c>
    </row>
    <row r="10" spans="2:8" x14ac:dyDescent="0.25">
      <c r="B10" s="110" t="s">
        <v>122</v>
      </c>
      <c r="C10" s="111" t="s">
        <v>100</v>
      </c>
      <c r="D10" s="112">
        <f>+'Costo Prod 1'!D69</f>
        <v>-793.18799999999999</v>
      </c>
      <c r="E10" s="112">
        <f>+'Costo Prod 2'!D69</f>
        <v>-993.18799999999999</v>
      </c>
      <c r="F10" s="112"/>
      <c r="G10" s="112"/>
      <c r="H10" s="113">
        <f t="shared" si="0"/>
        <v>-893.18799999999999</v>
      </c>
    </row>
    <row r="11" spans="2:8" x14ac:dyDescent="0.25">
      <c r="B11" s="110" t="s">
        <v>123</v>
      </c>
      <c r="C11" s="111" t="s">
        <v>100</v>
      </c>
      <c r="D11" s="112">
        <f>+'Costo Prod 1'!D70</f>
        <v>-723.08871894841263</v>
      </c>
      <c r="E11" s="112">
        <f>+'Costo Prod 2'!D70</f>
        <v>-723.08871894841263</v>
      </c>
      <c r="F11" s="112"/>
      <c r="G11" s="112"/>
      <c r="H11" s="113">
        <f t="shared" si="0"/>
        <v>-723.08871894841263</v>
      </c>
    </row>
    <row r="12" spans="2:8" x14ac:dyDescent="0.25">
      <c r="B12" s="110"/>
      <c r="C12" s="111"/>
      <c r="D12" s="112"/>
      <c r="E12" s="112"/>
      <c r="F12" s="112"/>
      <c r="G12" s="112"/>
      <c r="H12" s="113"/>
    </row>
    <row r="13" spans="2:8" x14ac:dyDescent="0.25">
      <c r="B13" s="110"/>
      <c r="C13" s="111"/>
      <c r="D13" s="112"/>
      <c r="E13" s="112"/>
      <c r="F13" s="112"/>
      <c r="G13" s="112"/>
      <c r="H13" s="113"/>
    </row>
    <row r="14" spans="2:8" x14ac:dyDescent="0.25">
      <c r="B14" s="110" t="s">
        <v>101</v>
      </c>
      <c r="C14" s="111" t="s">
        <v>102</v>
      </c>
      <c r="D14" s="112">
        <f>+D8*D9</f>
        <v>2500000</v>
      </c>
      <c r="E14" s="112">
        <f>+E8*E9</f>
        <v>3000000</v>
      </c>
      <c r="F14" s="105"/>
      <c r="G14" s="105"/>
      <c r="H14" s="113">
        <f t="shared" ref="H14" si="1">+AVERAGE(D14:G14)</f>
        <v>2750000</v>
      </c>
    </row>
    <row r="15" spans="2:8" x14ac:dyDescent="0.25">
      <c r="B15" s="110"/>
      <c r="C15" s="111"/>
      <c r="D15" s="105"/>
      <c r="E15" s="105"/>
      <c r="F15" s="105"/>
      <c r="G15" s="105"/>
      <c r="H15" s="112"/>
    </row>
    <row r="16" spans="2:8" x14ac:dyDescent="0.25">
      <c r="B16" s="123" t="s">
        <v>103</v>
      </c>
      <c r="C16" s="124" t="s">
        <v>104</v>
      </c>
      <c r="D16" s="126">
        <f>IF(D14&lt;&gt;0,D14/D8,0)</f>
        <v>2500</v>
      </c>
      <c r="E16" s="126">
        <f>IF(E14&lt;&gt;0,E14/E8,0)</f>
        <v>3000</v>
      </c>
      <c r="F16" s="126"/>
      <c r="G16" s="126"/>
      <c r="H16" s="113">
        <f t="shared" ref="H16" si="2">+AVERAGE(D16:G16)</f>
        <v>2750</v>
      </c>
    </row>
    <row r="17" spans="2:8" x14ac:dyDescent="0.25">
      <c r="B17" s="118"/>
      <c r="C17" s="118"/>
      <c r="D17" s="119"/>
      <c r="E17" s="119"/>
      <c r="F17" s="119"/>
      <c r="G17" s="119"/>
      <c r="H17" s="119"/>
    </row>
    <row r="18" spans="2:8" x14ac:dyDescent="0.25">
      <c r="B18" s="108" t="s">
        <v>105</v>
      </c>
      <c r="C18" s="108"/>
      <c r="D18" s="109"/>
      <c r="E18" s="109"/>
      <c r="F18" s="109"/>
      <c r="G18" s="109"/>
      <c r="H18" s="109"/>
    </row>
    <row r="19" spans="2:8" x14ac:dyDescent="0.25">
      <c r="B19" s="129" t="str">
        <f>+'Costo Prod 1'!I14</f>
        <v>Café Instantaneo</v>
      </c>
      <c r="C19" s="129"/>
      <c r="D19" s="105">
        <f>+'Costo Prod 1'!L14</f>
        <v>-180000</v>
      </c>
      <c r="E19" s="105">
        <f>+'Costo Prod 2'!L14</f>
        <v>-180000</v>
      </c>
      <c r="F19" s="105"/>
      <c r="G19" s="105"/>
      <c r="H19" s="113">
        <f t="shared" ref="H19:H26" si="3">+AVERAGE(D19:G19)</f>
        <v>-180000</v>
      </c>
    </row>
    <row r="20" spans="2:8" x14ac:dyDescent="0.25">
      <c r="B20" s="129" t="str">
        <f>+'Costo Prod 1'!I15</f>
        <v>Azucar</v>
      </c>
      <c r="C20" s="129"/>
      <c r="D20" s="105">
        <f>+'Costo Prod 1'!L15</f>
        <v>-5000</v>
      </c>
      <c r="E20" s="105">
        <f>+'Costo Prod 2'!L15</f>
        <v>-5000</v>
      </c>
      <c r="F20" s="105"/>
      <c r="G20" s="105"/>
      <c r="H20" s="113">
        <f t="shared" si="3"/>
        <v>-5000</v>
      </c>
    </row>
    <row r="21" spans="2:8" x14ac:dyDescent="0.25">
      <c r="B21" s="129" t="str">
        <f>+'Costo Prod 1'!I16</f>
        <v>Leche</v>
      </c>
      <c r="C21" s="129"/>
      <c r="D21" s="105">
        <f>+'Costo Prod 1'!L16</f>
        <v>0</v>
      </c>
      <c r="E21" s="105">
        <f>+'Costo Prod 2'!L16</f>
        <v>-200000</v>
      </c>
      <c r="F21" s="105"/>
      <c r="G21" s="105"/>
      <c r="H21" s="113">
        <f t="shared" si="3"/>
        <v>-100000</v>
      </c>
    </row>
    <row r="22" spans="2:8" x14ac:dyDescent="0.25">
      <c r="B22" s="129" t="str">
        <f>+'Costo Prod 1'!I17</f>
        <v>Endulzantes</v>
      </c>
      <c r="C22" s="129"/>
      <c r="D22" s="105">
        <f>+'Costo Prod 1'!L17</f>
        <v>-625</v>
      </c>
      <c r="E22" s="105">
        <f>+'Costo Prod 2'!L17</f>
        <v>-625</v>
      </c>
      <c r="F22" s="105"/>
      <c r="G22" s="105"/>
      <c r="H22" s="113">
        <f t="shared" si="3"/>
        <v>-625</v>
      </c>
    </row>
    <row r="23" spans="2:8" x14ac:dyDescent="0.25">
      <c r="B23" s="129" t="str">
        <f>+'Costo Prod 1'!I18</f>
        <v>Vase Desechable</v>
      </c>
      <c r="C23" s="129"/>
      <c r="D23" s="105">
        <f>+'Costo Prod 1'!L18</f>
        <v>-40000</v>
      </c>
      <c r="E23" s="105">
        <f>+'Costo Prod 2'!L18</f>
        <v>-40000</v>
      </c>
      <c r="F23" s="105"/>
      <c r="G23" s="105"/>
      <c r="H23" s="113">
        <f t="shared" si="3"/>
        <v>-40000</v>
      </c>
    </row>
    <row r="24" spans="2:8" x14ac:dyDescent="0.25">
      <c r="B24" s="129" t="str">
        <f>+'Costo Prod 1'!I19</f>
        <v>Servilletas</v>
      </c>
      <c r="C24" s="129"/>
      <c r="D24" s="105">
        <f>+'Costo Prod 1'!L19</f>
        <v>-20000</v>
      </c>
      <c r="E24" s="105">
        <f>+'Costo Prod 2'!L19</f>
        <v>-20000</v>
      </c>
      <c r="F24" s="105"/>
      <c r="G24" s="105"/>
      <c r="H24" s="113">
        <f t="shared" si="3"/>
        <v>-20000</v>
      </c>
    </row>
    <row r="25" spans="2:8" x14ac:dyDescent="0.25">
      <c r="B25" s="129" t="str">
        <f>+'Costo Prod 1'!I20</f>
        <v>Cucharitas</v>
      </c>
      <c r="C25" s="129"/>
      <c r="D25" s="105">
        <f>+'Costo Prod 1'!L20</f>
        <v>-40000</v>
      </c>
      <c r="E25" s="105">
        <f>+'Costo Prod 2'!L20</f>
        <v>-40000</v>
      </c>
      <c r="F25" s="105"/>
      <c r="G25" s="105"/>
      <c r="H25" s="113">
        <f t="shared" si="3"/>
        <v>-40000</v>
      </c>
    </row>
    <row r="26" spans="2:8" x14ac:dyDescent="0.25">
      <c r="B26" s="129" t="str">
        <f>+'Costo Prod 1'!I21</f>
        <v>Sueldo Barista</v>
      </c>
      <c r="C26" s="129"/>
      <c r="D26" s="105">
        <f>+'Costo Prod 1'!L21</f>
        <v>-507563</v>
      </c>
      <c r="E26" s="105">
        <f>+'Costo Prod 2'!L21</f>
        <v>-507563</v>
      </c>
      <c r="F26" s="105"/>
      <c r="G26" s="105"/>
      <c r="H26" s="113">
        <f t="shared" si="3"/>
        <v>-507563</v>
      </c>
    </row>
    <row r="27" spans="2:8" x14ac:dyDescent="0.25">
      <c r="B27" s="129"/>
      <c r="C27" s="129"/>
      <c r="D27" s="105"/>
      <c r="E27" s="105"/>
      <c r="F27" s="105"/>
      <c r="G27" s="105"/>
      <c r="H27" s="113"/>
    </row>
    <row r="28" spans="2:8" x14ac:dyDescent="0.25">
      <c r="B28" s="300"/>
      <c r="C28" s="300"/>
      <c r="D28" s="105"/>
      <c r="E28" s="105"/>
      <c r="F28" s="105"/>
      <c r="G28" s="105"/>
      <c r="H28" s="112"/>
    </row>
    <row r="29" spans="2:8" x14ac:dyDescent="0.25">
      <c r="B29" s="123" t="s">
        <v>106</v>
      </c>
      <c r="C29" s="124" t="s">
        <v>49</v>
      </c>
      <c r="D29" s="125">
        <f>SUM(D19:D28)</f>
        <v>-793188</v>
      </c>
      <c r="E29" s="125">
        <f t="shared" ref="E29:H29" si="4">SUM(E19:E28)</f>
        <v>-993188</v>
      </c>
      <c r="F29" s="125">
        <f t="shared" si="4"/>
        <v>0</v>
      </c>
      <c r="G29" s="125">
        <f t="shared" si="4"/>
        <v>0</v>
      </c>
      <c r="H29" s="125">
        <f t="shared" si="4"/>
        <v>-893188</v>
      </c>
    </row>
    <row r="30" spans="2:8" x14ac:dyDescent="0.25">
      <c r="B30" s="123" t="s">
        <v>107</v>
      </c>
      <c r="C30" s="124" t="s">
        <v>108</v>
      </c>
      <c r="D30" s="126">
        <f>IF(D8&lt;&gt;0,D29/D8,0)</f>
        <v>-793.18799999999999</v>
      </c>
      <c r="E30" s="126">
        <f>IF(E8&lt;&gt;0,E29/E8,0)</f>
        <v>-993.18799999999999</v>
      </c>
      <c r="F30" s="126">
        <f>IF(F8&lt;&gt;0,F29/F8,0)</f>
        <v>0</v>
      </c>
      <c r="G30" s="126">
        <f>IF(G8&lt;&gt;0,G29/G8,0)</f>
        <v>0</v>
      </c>
      <c r="H30" s="126">
        <f>IF(H8&lt;&gt;0,H29/H8,0)</f>
        <v>-893.18799999999999</v>
      </c>
    </row>
    <row r="31" spans="2:8" x14ac:dyDescent="0.25">
      <c r="B31" s="114"/>
      <c r="C31" s="115"/>
      <c r="D31" s="113"/>
      <c r="E31" s="113"/>
      <c r="F31" s="113"/>
      <c r="G31" s="113"/>
      <c r="H31" s="117"/>
    </row>
    <row r="32" spans="2:8" x14ac:dyDescent="0.25">
      <c r="B32" s="114" t="s">
        <v>109</v>
      </c>
      <c r="C32" s="115" t="s">
        <v>110</v>
      </c>
      <c r="D32" s="249">
        <f>+D14+D29</f>
        <v>1706812</v>
      </c>
      <c r="E32" s="249">
        <f>+E14+E29</f>
        <v>2006812</v>
      </c>
      <c r="F32" s="249">
        <f>+F14+F29</f>
        <v>0</v>
      </c>
      <c r="G32" s="249">
        <f>+G14+G29</f>
        <v>0</v>
      </c>
      <c r="H32" s="249">
        <f>+H14+H29</f>
        <v>1856812</v>
      </c>
    </row>
    <row r="33" spans="2:8" x14ac:dyDescent="0.25">
      <c r="B33" s="123" t="s">
        <v>111</v>
      </c>
      <c r="C33" s="124" t="s">
        <v>112</v>
      </c>
      <c r="D33" s="248">
        <f>IF($D$8&lt;&gt;0,D32/$D$8,0)</f>
        <v>1706.8119999999999</v>
      </c>
      <c r="E33" s="248">
        <f>IF(E8&lt;&gt;0,E32/E8,0)</f>
        <v>2006.8119999999999</v>
      </c>
      <c r="F33" s="248"/>
      <c r="G33" s="248"/>
      <c r="H33" s="248">
        <f>+AVERAGE(D33:G33)</f>
        <v>1856.8119999999999</v>
      </c>
    </row>
    <row r="34" spans="2:8" x14ac:dyDescent="0.25">
      <c r="B34" s="114"/>
      <c r="C34" s="115"/>
      <c r="D34" s="116"/>
      <c r="E34" s="116"/>
      <c r="F34" s="116"/>
      <c r="G34" s="116"/>
      <c r="H34" s="117"/>
    </row>
    <row r="35" spans="2:8" x14ac:dyDescent="0.25">
      <c r="B35" s="120"/>
      <c r="C35" s="121"/>
      <c r="D35" s="117"/>
      <c r="E35" s="117"/>
      <c r="F35" s="117"/>
      <c r="G35" s="117"/>
      <c r="H35" s="117"/>
    </row>
    <row r="36" spans="2:8" x14ac:dyDescent="0.25">
      <c r="B36" s="108" t="s">
        <v>42</v>
      </c>
      <c r="C36" s="108"/>
      <c r="D36" s="109"/>
      <c r="E36" s="109"/>
      <c r="F36" s="109"/>
      <c r="G36" s="109"/>
      <c r="H36" s="109"/>
    </row>
    <row r="37" spans="2:8" x14ac:dyDescent="0.25">
      <c r="B37" s="110" t="str">
        <f>+'Costo Prod 1'!I32</f>
        <v>Agua</v>
      </c>
      <c r="C37" s="110"/>
      <c r="D37" s="105">
        <f>+'Costo Prod 1'!L32</f>
        <v>-25000</v>
      </c>
      <c r="E37" s="105">
        <f>+'Costo Prod 2'!L32</f>
        <v>-25000</v>
      </c>
      <c r="F37" s="105"/>
      <c r="G37" s="105"/>
      <c r="H37" s="113">
        <f t="shared" ref="H37:H44" si="5">+AVERAGE(D37:G37)</f>
        <v>-25000</v>
      </c>
    </row>
    <row r="38" spans="2:8" x14ac:dyDescent="0.25">
      <c r="B38" s="110" t="str">
        <f>+'Costo Prod 1'!I33</f>
        <v>Luz</v>
      </c>
      <c r="C38" s="110"/>
      <c r="D38" s="105">
        <f>+'Costo Prod 1'!L33</f>
        <v>-25000</v>
      </c>
      <c r="E38" s="105">
        <f>+'Costo Prod 2'!L33</f>
        <v>-25000</v>
      </c>
      <c r="F38" s="105"/>
      <c r="G38" s="105"/>
      <c r="H38" s="113">
        <f t="shared" si="5"/>
        <v>-25000</v>
      </c>
    </row>
    <row r="39" spans="2:8" x14ac:dyDescent="0.25">
      <c r="B39" s="110" t="str">
        <f>+'Costo Prod 1'!I34</f>
        <v>Gas</v>
      </c>
      <c r="C39" s="110"/>
      <c r="D39" s="105">
        <f>+'Costo Prod 1'!L34</f>
        <v>-25000</v>
      </c>
      <c r="E39" s="105">
        <f>+'Costo Prod 2'!L34</f>
        <v>-25000</v>
      </c>
      <c r="F39" s="105"/>
      <c r="G39" s="105"/>
      <c r="H39" s="113">
        <f t="shared" si="5"/>
        <v>-25000</v>
      </c>
    </row>
    <row r="40" spans="2:8" x14ac:dyDescent="0.25">
      <c r="B40" s="110" t="str">
        <f>+'Costo Prod 1'!I35</f>
        <v>Internet-Televisión-Telefonía</v>
      </c>
      <c r="C40" s="110"/>
      <c r="D40" s="105">
        <f>+'Costo Prod 1'!L35</f>
        <v>-20000</v>
      </c>
      <c r="E40" s="105">
        <f>+'Costo Prod 2'!L35</f>
        <v>-20000</v>
      </c>
      <c r="F40" s="105"/>
      <c r="G40" s="105"/>
      <c r="H40" s="113">
        <f t="shared" si="5"/>
        <v>-20000</v>
      </c>
    </row>
    <row r="41" spans="2:8" x14ac:dyDescent="0.25">
      <c r="B41" s="110" t="str">
        <f>+'Costo Prod 1'!I36</f>
        <v>Publicidad y Seguros</v>
      </c>
      <c r="C41" s="110"/>
      <c r="D41" s="105">
        <f>+'Costo Prod 1'!L36</f>
        <v>-40000</v>
      </c>
      <c r="E41" s="105">
        <f>+'Costo Prod 2'!L36</f>
        <v>-40000</v>
      </c>
      <c r="F41" s="105"/>
      <c r="G41" s="105"/>
      <c r="H41" s="113">
        <f t="shared" si="5"/>
        <v>-40000</v>
      </c>
    </row>
    <row r="42" spans="2:8" x14ac:dyDescent="0.25">
      <c r="B42" s="110" t="str">
        <f>+'Costo Prod 1'!I37</f>
        <v>Arriendo</v>
      </c>
      <c r="C42" s="110"/>
      <c r="D42" s="105">
        <f>+'Costo Prod 1'!L37</f>
        <v>-250000</v>
      </c>
      <c r="E42" s="105">
        <f>+'Costo Prod 2'!L37</f>
        <v>-250000</v>
      </c>
      <c r="F42" s="105"/>
      <c r="G42" s="105"/>
      <c r="H42" s="113">
        <f t="shared" si="5"/>
        <v>-250000</v>
      </c>
    </row>
    <row r="43" spans="2:8" x14ac:dyDescent="0.25">
      <c r="B43" s="110" t="str">
        <f>+'Costo Prod 1'!I38</f>
        <v>Depreciaciones</v>
      </c>
      <c r="C43" s="110"/>
      <c r="D43" s="105">
        <f>+'Costo Prod 1'!L38</f>
        <v>-10525.718948412699</v>
      </c>
      <c r="E43" s="105">
        <f>+'Costo Prod 2'!L38</f>
        <v>-10525.718948412699</v>
      </c>
      <c r="F43" s="105"/>
      <c r="G43" s="105"/>
      <c r="H43" s="113">
        <f t="shared" si="5"/>
        <v>-10525.718948412699</v>
      </c>
    </row>
    <row r="44" spans="2:8" x14ac:dyDescent="0.25">
      <c r="B44" s="110" t="str">
        <f>+'Costo Prod 1'!I39</f>
        <v>Sueldo Cajera Administrativa</v>
      </c>
      <c r="C44" s="110"/>
      <c r="D44" s="105">
        <f>+'Costo Prod 1'!L39</f>
        <v>-327563</v>
      </c>
      <c r="E44" s="105">
        <f>+'Costo Prod 2'!L39</f>
        <v>-327563</v>
      </c>
      <c r="F44" s="105"/>
      <c r="G44" s="105"/>
      <c r="H44" s="113">
        <f t="shared" si="5"/>
        <v>-327563</v>
      </c>
    </row>
    <row r="45" spans="2:8" x14ac:dyDescent="0.25">
      <c r="B45" s="110"/>
      <c r="C45" s="110"/>
      <c r="D45" s="105"/>
      <c r="E45" s="105"/>
      <c r="F45" s="105"/>
      <c r="G45" s="105"/>
      <c r="H45" s="113"/>
    </row>
    <row r="46" spans="2:8" x14ac:dyDescent="0.25">
      <c r="B46" s="110"/>
      <c r="C46" s="110"/>
      <c r="D46" s="105"/>
      <c r="E46" s="105"/>
      <c r="F46" s="105"/>
      <c r="G46" s="105"/>
      <c r="H46" s="113"/>
    </row>
    <row r="47" spans="2:8" x14ac:dyDescent="0.25">
      <c r="B47" s="300"/>
      <c r="C47" s="300"/>
      <c r="D47" s="105"/>
      <c r="E47" s="105"/>
      <c r="F47" s="105"/>
      <c r="G47" s="105"/>
      <c r="H47" s="112"/>
    </row>
    <row r="48" spans="2:8" x14ac:dyDescent="0.25">
      <c r="B48" s="123" t="s">
        <v>116</v>
      </c>
      <c r="C48" s="124" t="s">
        <v>43</v>
      </c>
      <c r="D48" s="125">
        <f>SUM(D37:D47)</f>
        <v>-723088.71894841269</v>
      </c>
      <c r="E48" s="125">
        <f t="shared" ref="E48:H48" si="6">SUM(E37:E47)</f>
        <v>-723088.71894841269</v>
      </c>
      <c r="F48" s="125">
        <f t="shared" si="6"/>
        <v>0</v>
      </c>
      <c r="G48" s="125">
        <f t="shared" si="6"/>
        <v>0</v>
      </c>
      <c r="H48" s="125">
        <f t="shared" si="6"/>
        <v>-723088.71894841269</v>
      </c>
    </row>
    <row r="49" spans="2:8" x14ac:dyDescent="0.25">
      <c r="B49" s="123" t="s">
        <v>292</v>
      </c>
      <c r="C49" s="124" t="s">
        <v>108</v>
      </c>
      <c r="D49" s="126">
        <f>IF(D8&lt;&gt;0,D48/D8,0)</f>
        <v>-723.08871894841263</v>
      </c>
      <c r="E49" s="126">
        <f>IF(E8&lt;&gt;0,E48/E8,0)</f>
        <v>-723.08871894841263</v>
      </c>
      <c r="F49" s="126"/>
      <c r="G49" s="126"/>
      <c r="H49" s="248">
        <f>+AVERAGE(D49:G49)</f>
        <v>-723.08871894841263</v>
      </c>
    </row>
    <row r="50" spans="2:8" x14ac:dyDescent="0.25">
      <c r="B50" s="114"/>
      <c r="C50" s="115"/>
      <c r="D50" s="113"/>
      <c r="E50" s="113"/>
      <c r="F50" s="113"/>
      <c r="G50" s="113"/>
      <c r="H50" s="117"/>
    </row>
    <row r="51" spans="2:8" x14ac:dyDescent="0.25">
      <c r="B51" s="114" t="s">
        <v>293</v>
      </c>
      <c r="C51" s="115" t="s">
        <v>110</v>
      </c>
      <c r="D51" s="249">
        <f t="shared" ref="D51:G51" si="7">+D32+D48</f>
        <v>983723.28105158731</v>
      </c>
      <c r="E51" s="249">
        <f t="shared" si="7"/>
        <v>1283723.2810515873</v>
      </c>
      <c r="F51" s="249">
        <f t="shared" si="7"/>
        <v>0</v>
      </c>
      <c r="G51" s="249">
        <f t="shared" si="7"/>
        <v>0</v>
      </c>
      <c r="H51" s="249">
        <f>+H32+H48</f>
        <v>1133723.2810515873</v>
      </c>
    </row>
    <row r="52" spans="2:8" x14ac:dyDescent="0.25">
      <c r="B52" s="123" t="s">
        <v>111</v>
      </c>
      <c r="C52" s="124" t="s">
        <v>112</v>
      </c>
      <c r="D52" s="126">
        <f>IF(D8&lt;&gt;0,D51/D8,0)</f>
        <v>983.72328105158726</v>
      </c>
      <c r="E52" s="126">
        <f>IF(E8&lt;&gt;0,E51/E8,0)</f>
        <v>1283.7232810515873</v>
      </c>
      <c r="F52" s="126"/>
      <c r="G52" s="126"/>
      <c r="H52" s="248">
        <f>+AVERAGE(D52:G52)</f>
        <v>1133.7232810515873</v>
      </c>
    </row>
    <row r="53" spans="2:8" x14ac:dyDescent="0.25">
      <c r="B53" s="114"/>
      <c r="C53" s="115"/>
      <c r="D53" s="116"/>
      <c r="E53" s="116"/>
      <c r="F53" s="116"/>
      <c r="G53" s="116"/>
      <c r="H53" s="250"/>
    </row>
    <row r="54" spans="2:8" x14ac:dyDescent="0.25">
      <c r="B54" s="130" t="s">
        <v>113</v>
      </c>
      <c r="C54" s="131" t="s">
        <v>43</v>
      </c>
      <c r="D54" s="302"/>
      <c r="E54" s="302"/>
      <c r="F54" s="302"/>
      <c r="G54" s="302"/>
      <c r="H54" s="133">
        <f>+H48</f>
        <v>-723088.71894841269</v>
      </c>
    </row>
    <row r="55" spans="2:8" x14ac:dyDescent="0.25">
      <c r="B55" s="114" t="s">
        <v>114</v>
      </c>
      <c r="C55" s="115" t="s">
        <v>115</v>
      </c>
      <c r="D55" s="301"/>
      <c r="E55" s="301"/>
      <c r="F55" s="301"/>
      <c r="G55" s="301"/>
      <c r="H55" s="113">
        <f>+H32+H54</f>
        <v>1133723.2810515873</v>
      </c>
    </row>
    <row r="56" spans="2:8" x14ac:dyDescent="0.25">
      <c r="G56" s="159" t="s">
        <v>294</v>
      </c>
      <c r="H56" s="251">
        <f>+AVERAGE('Costo Prod 1'!L45,'Costo Prod 2'!L45)-H55</f>
        <v>0</v>
      </c>
    </row>
  </sheetData>
  <mergeCells count="4">
    <mergeCell ref="D55:G55"/>
    <mergeCell ref="B47:C47"/>
    <mergeCell ref="D54:G54"/>
    <mergeCell ref="B28:C2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Inversión</vt:lpstr>
      <vt:lpstr>Gastos Fijos</vt:lpstr>
      <vt:lpstr>Mercaderia</vt:lpstr>
      <vt:lpstr>Activos</vt:lpstr>
      <vt:lpstr>Remus</vt:lpstr>
      <vt:lpstr>Honorarios</vt:lpstr>
      <vt:lpstr>Costo Prod 1</vt:lpstr>
      <vt:lpstr>Costo Prod 2</vt:lpstr>
      <vt:lpstr>Costos Consolidado</vt:lpstr>
      <vt:lpstr>PE</vt:lpstr>
      <vt:lpstr>Cash Flow</vt:lpstr>
      <vt:lpstr>Cash Flow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Bustamante</dc:creator>
  <cp:lastModifiedBy>Robert Bustamante</cp:lastModifiedBy>
  <cp:lastPrinted>2024-10-21T20:49:29Z</cp:lastPrinted>
  <dcterms:created xsi:type="dcterms:W3CDTF">2024-08-14T11:26:58Z</dcterms:created>
  <dcterms:modified xsi:type="dcterms:W3CDTF">2024-11-10T17:15:12Z</dcterms:modified>
</cp:coreProperties>
</file>