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d2593dd071a70e/Robert/Robert/Ahorro e Inversiones y Negocios/Acrobert Servicios Profesionales/Clientes/ACR Gestion Emprendedores/GEAR ACR/MasterClass/"/>
    </mc:Choice>
  </mc:AlternateContent>
  <xr:revisionPtr revIDLastSave="2456" documentId="8_{FF34E18A-84E7-40D2-9D15-3462D7E200F7}" xr6:coauthVersionLast="47" xr6:coauthVersionMax="47" xr10:uidLastSave="{2A4E13C9-FCB5-4D57-BD2D-521EDCA3DC1D}"/>
  <bookViews>
    <workbookView xWindow="-120" yWindow="-120" windowWidth="29040" windowHeight="15720" tabRatio="871" activeTab="9" xr2:uid="{00000000-000D-0000-FFFF-FFFF00000000}"/>
  </bookViews>
  <sheets>
    <sheet name="Portada" sheetId="13" r:id="rId1"/>
    <sheet name="Indice" sheetId="12" r:id="rId2"/>
    <sheet name="Multas" sheetId="23" r:id="rId3"/>
    <sheet name="F-29" sheetId="52" r:id="rId4"/>
    <sheet name="Resumen" sheetId="8" r:id="rId5"/>
    <sheet name="LV SII" sheetId="2" r:id="rId6"/>
    <sheet name="Comp" sheetId="18" r:id="rId7"/>
    <sheet name="LC SII" sheetId="3" r:id="rId8"/>
    <sheet name="LH SII" sheetId="4" r:id="rId9"/>
    <sheet name="RCF-PPM" sheetId="7" r:id="rId10"/>
    <sheet name="Ej.1 DIN" sheetId="53" r:id="rId11"/>
    <sheet name="Eje 1 F-29" sheetId="54" r:id="rId12"/>
    <sheet name="Ej.2 IVA Comun 23 N°3" sheetId="55" r:id="rId13"/>
    <sheet name="Eje 2 F-29" sheetId="56" r:id="rId14"/>
    <sheet name="Ej.3 IVA Simp Art.29" sheetId="57" r:id="rId15"/>
    <sheet name="Eje 3 F-29 Caso 1" sheetId="58" r:id="rId16"/>
    <sheet name="Eje 3 F-29 Caso 2" sheetId="59" r:id="rId17"/>
    <sheet name="Ej.4 Bienes R. Art.16 y 17" sheetId="60" r:id="rId18"/>
    <sheet name="Eje 4.1 F-29 Arriendo" sheetId="63" r:id="rId19"/>
    <sheet name="Eje 4.2 F-29 Esporadico" sheetId="61" r:id="rId20"/>
  </sheets>
  <definedNames>
    <definedName name="_xlnm._FilterDatabase" localSheetId="7" hidden="1">'LC SII'!$A$8:$AA$12</definedName>
    <definedName name="_xlnm.Print_Area" localSheetId="11">'Eje 1 F-29'!$B$1:$T$201</definedName>
    <definedName name="_xlnm.Print_Area" localSheetId="13">'Eje 2 F-29'!$B$1:$T$201</definedName>
    <definedName name="_xlnm.Print_Area" localSheetId="15">'Eje 3 F-29 Caso 1'!$B$1:$T$201</definedName>
    <definedName name="_xlnm.Print_Area" localSheetId="16">'Eje 3 F-29 Caso 2'!$B$1:$T$201</definedName>
    <definedName name="_xlnm.Print_Area" localSheetId="18">'Eje 4.1 F-29 Arriendo'!$B$1:$T$201</definedName>
    <definedName name="_xlnm.Print_Area" localSheetId="19">'Eje 4.2 F-29 Esporadico'!$B$1:$T$201</definedName>
    <definedName name="_xlnm.Print_Area" localSheetId="3">'F-29'!$B$1:$T$201</definedName>
    <definedName name="_xlnm.Print_Area" localSheetId="1">Indice!$A$1:$C$37</definedName>
    <definedName name="_xlnm.Print_Area" localSheetId="0">Portada!$B$1:$I$31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" l="1"/>
  <c r="H39" i="2"/>
  <c r="J39" i="2"/>
  <c r="I39" i="2"/>
  <c r="F21" i="8" s="1"/>
  <c r="G21" i="8"/>
  <c r="F39" i="2"/>
  <c r="C21" i="8" s="1"/>
  <c r="K42" i="2"/>
  <c r="K41" i="2"/>
  <c r="K40" i="2"/>
  <c r="S27" i="52"/>
  <c r="G31" i="8"/>
  <c r="F31" i="8"/>
  <c r="E31" i="8"/>
  <c r="D31" i="8"/>
  <c r="C31" i="8"/>
  <c r="G26" i="8"/>
  <c r="F26" i="8"/>
  <c r="D26" i="8"/>
  <c r="C26" i="8"/>
  <c r="B26" i="8"/>
  <c r="A26" i="8"/>
  <c r="G25" i="8"/>
  <c r="F25" i="8"/>
  <c r="D25" i="8"/>
  <c r="C25" i="8"/>
  <c r="B25" i="8"/>
  <c r="A25" i="8"/>
  <c r="G24" i="8"/>
  <c r="F24" i="8"/>
  <c r="E24" i="8"/>
  <c r="D24" i="8"/>
  <c r="C24" i="8"/>
  <c r="B24" i="8"/>
  <c r="G23" i="8"/>
  <c r="F23" i="8"/>
  <c r="E23" i="8"/>
  <c r="D23" i="8"/>
  <c r="C23" i="8"/>
  <c r="B23" i="8"/>
  <c r="G22" i="8"/>
  <c r="F22" i="8"/>
  <c r="E22" i="8"/>
  <c r="D22" i="8"/>
  <c r="C22" i="8"/>
  <c r="B22" i="8"/>
  <c r="D21" i="8"/>
  <c r="B21" i="8"/>
  <c r="A21" i="8"/>
  <c r="M57" i="60"/>
  <c r="L56" i="60"/>
  <c r="L48" i="60"/>
  <c r="L44" i="60"/>
  <c r="M40" i="60"/>
  <c r="D17" i="60"/>
  <c r="D16" i="60"/>
  <c r="C22" i="60"/>
  <c r="O47" i="57"/>
  <c r="O33" i="57"/>
  <c r="P47" i="57"/>
  <c r="P33" i="57"/>
  <c r="C57" i="57"/>
  <c r="B52" i="57"/>
  <c r="L29" i="55"/>
  <c r="L22" i="53"/>
  <c r="K22" i="53"/>
  <c r="J22" i="53"/>
  <c r="O9" i="53"/>
  <c r="M9" i="53"/>
  <c r="L9" i="53"/>
  <c r="K9" i="53"/>
  <c r="J10" i="53"/>
  <c r="S22" i="53"/>
  <c r="T16" i="53"/>
  <c r="T15" i="53"/>
  <c r="T14" i="53"/>
  <c r="T13" i="53"/>
  <c r="T12" i="53"/>
  <c r="T11" i="53"/>
  <c r="T10" i="53"/>
  <c r="T9" i="53"/>
  <c r="J9" i="53"/>
  <c r="L45" i="60"/>
  <c r="K49" i="60"/>
  <c r="J47" i="60"/>
  <c r="L41" i="60"/>
  <c r="L47" i="60" s="1"/>
  <c r="L49" i="60" l="1"/>
  <c r="L52" i="60" s="1"/>
  <c r="M44" i="60"/>
  <c r="B81" i="57" l="1"/>
  <c r="U15" i="7"/>
  <c r="F9" i="53"/>
  <c r="C41" i="60"/>
  <c r="B57" i="57"/>
  <c r="B27" i="57"/>
  <c r="F20" i="57" s="1"/>
  <c r="C47" i="60" l="1"/>
  <c r="U19" i="7" l="1"/>
  <c r="V19" i="7" s="1"/>
  <c r="U18" i="7"/>
  <c r="U17" i="7"/>
  <c r="V17" i="7" s="1"/>
  <c r="U16" i="7"/>
  <c r="U14" i="7"/>
  <c r="V14" i="7" s="1"/>
  <c r="U13" i="7"/>
  <c r="U12" i="7"/>
  <c r="V12" i="7" s="1"/>
  <c r="U11" i="7"/>
  <c r="V11" i="7" s="1"/>
  <c r="U10" i="7"/>
  <c r="U9" i="7"/>
  <c r="V9" i="7" s="1"/>
  <c r="V20" i="7"/>
  <c r="V18" i="7"/>
  <c r="V16" i="7"/>
  <c r="V13" i="7"/>
  <c r="V10" i="7"/>
  <c r="N6" i="2" l="1"/>
  <c r="K43" i="2" s="1"/>
  <c r="C17" i="23"/>
  <c r="O35" i="2"/>
  <c r="N35" i="2"/>
  <c r="C16" i="60"/>
  <c r="Q33" i="57"/>
  <c r="N58" i="54"/>
  <c r="E31" i="53"/>
  <c r="E13" i="8" l="1"/>
  <c r="E12" i="8" s="1"/>
  <c r="B6" i="3"/>
  <c r="E14" i="8" s="1"/>
  <c r="E10" i="8"/>
  <c r="E11" i="8"/>
  <c r="L6" i="3"/>
  <c r="F13" i="8"/>
  <c r="I13" i="8"/>
  <c r="H13" i="8"/>
  <c r="H12" i="8" s="1"/>
  <c r="G13" i="8"/>
  <c r="D13" i="8"/>
  <c r="C13" i="8"/>
  <c r="N59" i="52" s="1"/>
  <c r="C10" i="8"/>
  <c r="D10" i="8"/>
  <c r="Y43" i="52" l="1"/>
  <c r="I12" i="8"/>
  <c r="F14" i="8"/>
  <c r="S56" i="52" s="1"/>
  <c r="G14" i="8"/>
  <c r="E9" i="8"/>
  <c r="E7" i="8" s="1"/>
  <c r="E16" i="8" s="1"/>
  <c r="H14" i="8"/>
  <c r="D14" i="8"/>
  <c r="F12" i="8"/>
  <c r="S58" i="52" s="1"/>
  <c r="I14" i="8"/>
  <c r="C9" i="8"/>
  <c r="S59" i="52"/>
  <c r="C14" i="8"/>
  <c r="N56" i="52" s="1"/>
  <c r="G12" i="8"/>
  <c r="J12" i="8" s="1"/>
  <c r="F46" i="8" l="1"/>
  <c r="F45" i="8"/>
  <c r="F44" i="8"/>
  <c r="F43" i="8"/>
  <c r="S98" i="52" s="1"/>
  <c r="F42" i="8"/>
  <c r="F41" i="8"/>
  <c r="F40" i="8"/>
  <c r="F48" i="8"/>
  <c r="F47" i="8"/>
  <c r="F39" i="8"/>
  <c r="F38" i="8"/>
  <c r="G49" i="8"/>
  <c r="F37" i="8"/>
  <c r="H37" i="8" s="1"/>
  <c r="R6" i="3"/>
  <c r="M7" i="8"/>
  <c r="M16" i="8" s="1"/>
  <c r="S164" i="52" s="1"/>
  <c r="I9" i="8"/>
  <c r="H9" i="8"/>
  <c r="H7" i="8" s="1"/>
  <c r="G9" i="8"/>
  <c r="G7" i="8" s="1"/>
  <c r="F9" i="8"/>
  <c r="F7" i="8" s="1"/>
  <c r="N42" i="52" s="1"/>
  <c r="D9" i="8"/>
  <c r="D12" i="8"/>
  <c r="C12" i="8"/>
  <c r="N58" i="52" s="1"/>
  <c r="D8" i="8"/>
  <c r="J29" i="53"/>
  <c r="K29" i="53" s="1"/>
  <c r="J28" i="53"/>
  <c r="K28" i="53" s="1"/>
  <c r="J27" i="53"/>
  <c r="K27" i="53" s="1"/>
  <c r="J26" i="53"/>
  <c r="J25" i="53"/>
  <c r="J24" i="53"/>
  <c r="K24" i="53" s="1"/>
  <c r="J23" i="53"/>
  <c r="K23" i="53" s="1"/>
  <c r="K26" i="53"/>
  <c r="K25" i="53"/>
  <c r="I31" i="53"/>
  <c r="E29" i="53"/>
  <c r="E28" i="53"/>
  <c r="E27" i="53"/>
  <c r="E26" i="53"/>
  <c r="E25" i="53"/>
  <c r="E24" i="53"/>
  <c r="E23" i="53"/>
  <c r="E22" i="53"/>
  <c r="I43" i="8" l="1"/>
  <c r="S101" i="52" s="1"/>
  <c r="C84" i="8" s="1"/>
  <c r="S55" i="52"/>
  <c r="S51" i="52"/>
  <c r="I37" i="8"/>
  <c r="K12" i="8"/>
  <c r="Z6" i="3"/>
  <c r="O6" i="3"/>
  <c r="M6" i="3"/>
  <c r="K6" i="3"/>
  <c r="J6" i="3"/>
  <c r="K6" i="2"/>
  <c r="M6" i="2"/>
  <c r="Q9" i="18"/>
  <c r="P9" i="18"/>
  <c r="P8" i="18"/>
  <c r="D30" i="8"/>
  <c r="F30" i="8"/>
  <c r="E30" i="8"/>
  <c r="P36" i="2"/>
  <c r="F44" i="2"/>
  <c r="F43" i="2"/>
  <c r="J44" i="2"/>
  <c r="I44" i="2"/>
  <c r="H44" i="2"/>
  <c r="E26" i="8" s="1"/>
  <c r="G44" i="2"/>
  <c r="J43" i="2"/>
  <c r="I43" i="2"/>
  <c r="H43" i="2"/>
  <c r="E25" i="8" s="1"/>
  <c r="G43" i="2"/>
  <c r="E21" i="8"/>
  <c r="G39" i="2"/>
  <c r="S183" i="63"/>
  <c r="S182" i="63"/>
  <c r="S181" i="63"/>
  <c r="S180" i="63"/>
  <c r="S179" i="63"/>
  <c r="S178" i="63"/>
  <c r="S175" i="63"/>
  <c r="S167" i="63"/>
  <c r="S160" i="63"/>
  <c r="S158" i="63"/>
  <c r="S146" i="63"/>
  <c r="J160" i="63" s="1"/>
  <c r="S134" i="63"/>
  <c r="J134" i="63"/>
  <c r="S108" i="63"/>
  <c r="N80" i="63"/>
  <c r="S77" i="63"/>
  <c r="J4" i="63"/>
  <c r="B50" i="60"/>
  <c r="B49" i="60"/>
  <c r="B47" i="60"/>
  <c r="G30" i="8" l="1"/>
  <c r="J43" i="8"/>
  <c r="F36" i="2"/>
  <c r="P66" i="57"/>
  <c r="S122" i="59" s="1"/>
  <c r="S122" i="58"/>
  <c r="K83" i="60" l="1"/>
  <c r="K82" i="60"/>
  <c r="L75" i="60"/>
  <c r="L74" i="60"/>
  <c r="L76" i="60" s="1"/>
  <c r="L78" i="60" s="1"/>
  <c r="L79" i="60" s="1"/>
  <c r="L72" i="60"/>
  <c r="L71" i="60"/>
  <c r="M71" i="60" s="1"/>
  <c r="L68" i="60"/>
  <c r="L67" i="60"/>
  <c r="L69" i="60" s="1"/>
  <c r="L82" i="60" s="1"/>
  <c r="L80" i="60" l="1"/>
  <c r="L83" i="60" s="1"/>
  <c r="L84" i="60" s="1"/>
  <c r="L89" i="60" s="1"/>
  <c r="S183" i="61"/>
  <c r="S182" i="61"/>
  <c r="S181" i="61"/>
  <c r="S180" i="61"/>
  <c r="S179" i="61"/>
  <c r="S178" i="61"/>
  <c r="S175" i="61"/>
  <c r="S167" i="61"/>
  <c r="S160" i="61"/>
  <c r="J160" i="61"/>
  <c r="S158" i="61"/>
  <c r="S146" i="61"/>
  <c r="S134" i="61"/>
  <c r="J134" i="61"/>
  <c r="S108" i="61"/>
  <c r="N80" i="61"/>
  <c r="S77" i="61"/>
  <c r="J4" i="61"/>
  <c r="L53" i="60"/>
  <c r="B57" i="60"/>
  <c r="B56" i="60"/>
  <c r="C50" i="60"/>
  <c r="C57" i="60" s="1"/>
  <c r="A49" i="60"/>
  <c r="N18" i="60"/>
  <c r="P18" i="60" s="1"/>
  <c r="R18" i="60" s="1"/>
  <c r="L18" i="60" s="1"/>
  <c r="L26" i="60" s="1"/>
  <c r="L16" i="60"/>
  <c r="E18" i="60"/>
  <c r="G18" i="60" s="1"/>
  <c r="I18" i="60" s="1"/>
  <c r="C18" i="60" s="1"/>
  <c r="C26" i="60" l="1"/>
  <c r="C20" i="60"/>
  <c r="C23" i="60" s="1"/>
  <c r="C49" i="60"/>
  <c r="C56" i="60" s="1"/>
  <c r="L88" i="60"/>
  <c r="L58" i="60"/>
  <c r="L85" i="60"/>
  <c r="L20" i="60"/>
  <c r="L22" i="60" s="1"/>
  <c r="L23" i="60" s="1"/>
  <c r="L28" i="60" s="1"/>
  <c r="S21" i="63" s="1"/>
  <c r="C52" i="60" l="1"/>
  <c r="C53" i="60" s="1"/>
  <c r="D53" i="60" s="1"/>
  <c r="M89" i="60"/>
  <c r="C29" i="60"/>
  <c r="L86" i="60"/>
  <c r="L90" i="60"/>
  <c r="L91" i="60" s="1"/>
  <c r="L57" i="60"/>
  <c r="C59" i="60"/>
  <c r="L27" i="60"/>
  <c r="L29" i="60" s="1"/>
  <c r="C27" i="60"/>
  <c r="C28" i="60"/>
  <c r="D28" i="60" s="1"/>
  <c r="L59" i="60" l="1"/>
  <c r="S24" i="63"/>
  <c r="S25" i="63"/>
  <c r="S34" i="61"/>
  <c r="S37" i="61" s="1"/>
  <c r="S80" i="61" l="1"/>
  <c r="G80" i="61"/>
  <c r="S37" i="63"/>
  <c r="N21" i="59"/>
  <c r="S183" i="59"/>
  <c r="S182" i="59"/>
  <c r="S181" i="59"/>
  <c r="S180" i="59"/>
  <c r="S179" i="59"/>
  <c r="S178" i="59"/>
  <c r="S175" i="59"/>
  <c r="S167" i="59"/>
  <c r="S160" i="59"/>
  <c r="J160" i="59"/>
  <c r="S158" i="59"/>
  <c r="S146" i="59"/>
  <c r="S134" i="59"/>
  <c r="J134" i="59"/>
  <c r="S108" i="59"/>
  <c r="N80" i="59"/>
  <c r="S77" i="59"/>
  <c r="J4" i="59"/>
  <c r="B83" i="57"/>
  <c r="B80" i="57"/>
  <c r="C78" i="57"/>
  <c r="C77" i="57"/>
  <c r="C76" i="57"/>
  <c r="C75" i="57"/>
  <c r="C74" i="57"/>
  <c r="C73" i="57"/>
  <c r="C72" i="57"/>
  <c r="C71" i="57"/>
  <c r="C70" i="57"/>
  <c r="C69" i="57"/>
  <c r="C68" i="57"/>
  <c r="C67" i="57"/>
  <c r="O105" i="57"/>
  <c r="O106" i="57" s="1"/>
  <c r="Q88" i="57"/>
  <c r="Q90" i="57" s="1"/>
  <c r="P88" i="57"/>
  <c r="P90" i="57" s="1"/>
  <c r="O88" i="57"/>
  <c r="O93" i="57" s="1"/>
  <c r="Q86" i="57"/>
  <c r="P86" i="57"/>
  <c r="O86" i="57"/>
  <c r="O73" i="57"/>
  <c r="O74" i="57" s="1"/>
  <c r="P52" i="57"/>
  <c r="P61" i="57" s="1"/>
  <c r="O52" i="57"/>
  <c r="O61" i="57" s="1"/>
  <c r="Q57" i="57"/>
  <c r="Q62" i="57" s="1"/>
  <c r="P57" i="57"/>
  <c r="P59" i="57" s="1"/>
  <c r="O57" i="57"/>
  <c r="O59" i="57" s="1"/>
  <c r="Q55" i="57"/>
  <c r="P55" i="57"/>
  <c r="O55" i="57"/>
  <c r="P42" i="57"/>
  <c r="Q38" i="57"/>
  <c r="Q40" i="57" s="1"/>
  <c r="P38" i="57"/>
  <c r="P40" i="57" s="1"/>
  <c r="O38" i="57"/>
  <c r="O40" i="57" s="1"/>
  <c r="Q36" i="57"/>
  <c r="P36" i="57"/>
  <c r="O36" i="57"/>
  <c r="Q52" i="57"/>
  <c r="O42" i="57"/>
  <c r="B60" i="57"/>
  <c r="H23" i="57"/>
  <c r="B26" i="57"/>
  <c r="E18" i="57"/>
  <c r="E17" i="57"/>
  <c r="E16" i="57"/>
  <c r="E15" i="57"/>
  <c r="B51" i="57"/>
  <c r="C49" i="57"/>
  <c r="C48" i="57"/>
  <c r="C47" i="57"/>
  <c r="C46" i="57"/>
  <c r="C45" i="57"/>
  <c r="C44" i="57"/>
  <c r="C43" i="57"/>
  <c r="C42" i="57"/>
  <c r="C41" i="57"/>
  <c r="C40" i="57"/>
  <c r="C39" i="57"/>
  <c r="C38" i="57"/>
  <c r="C51" i="57" l="1"/>
  <c r="B58" i="57" s="1"/>
  <c r="C81" i="57"/>
  <c r="C80" i="57"/>
  <c r="B90" i="57" s="1"/>
  <c r="B84" i="57"/>
  <c r="B92" i="57" s="1"/>
  <c r="B89" i="57"/>
  <c r="P43" i="57"/>
  <c r="P44" i="57"/>
  <c r="S21" i="59"/>
  <c r="S37" i="59" s="1"/>
  <c r="S80" i="59" s="1"/>
  <c r="S168" i="59" s="1"/>
  <c r="O83" i="57"/>
  <c r="O92" i="57" s="1"/>
  <c r="O94" i="57" s="1"/>
  <c r="Q43" i="57"/>
  <c r="C52" i="57"/>
  <c r="B61" i="57" s="1"/>
  <c r="C60" i="57" s="1"/>
  <c r="P83" i="57"/>
  <c r="P92" i="57" s="1"/>
  <c r="S80" i="63"/>
  <c r="G80" i="63"/>
  <c r="S168" i="61"/>
  <c r="S184" i="61" s="1"/>
  <c r="S186" i="61" s="1"/>
  <c r="J168" i="61"/>
  <c r="S118" i="61"/>
  <c r="B93" i="57"/>
  <c r="Q61" i="57"/>
  <c r="Q63" i="57" s="1"/>
  <c r="Q83" i="57"/>
  <c r="Q92" i="57" s="1"/>
  <c r="Q42" i="57"/>
  <c r="Q44" i="57" s="1"/>
  <c r="O90" i="57"/>
  <c r="O43" i="57"/>
  <c r="Q59" i="57"/>
  <c r="P62" i="57"/>
  <c r="P63" i="57"/>
  <c r="P93" i="57"/>
  <c r="Q93" i="57"/>
  <c r="O62" i="57"/>
  <c r="E22" i="57"/>
  <c r="E21" i="57"/>
  <c r="E20" i="57"/>
  <c r="F24" i="57"/>
  <c r="H20" i="57"/>
  <c r="F21" i="57"/>
  <c r="H21" i="57"/>
  <c r="H24" i="57"/>
  <c r="H22" i="57"/>
  <c r="E23" i="57"/>
  <c r="F23" i="57"/>
  <c r="E24" i="57"/>
  <c r="F22" i="57"/>
  <c r="S183" i="58"/>
  <c r="S182" i="58"/>
  <c r="S181" i="58"/>
  <c r="S180" i="58"/>
  <c r="S179" i="58"/>
  <c r="S178" i="58"/>
  <c r="S175" i="58"/>
  <c r="S167" i="58"/>
  <c r="S158" i="58"/>
  <c r="S160" i="58" s="1"/>
  <c r="S146" i="58"/>
  <c r="S134" i="58"/>
  <c r="J134" i="58"/>
  <c r="S108" i="58"/>
  <c r="N80" i="58"/>
  <c r="S77" i="58"/>
  <c r="S37" i="58"/>
  <c r="J4" i="58"/>
  <c r="S185" i="61" l="1"/>
  <c r="Q94" i="57"/>
  <c r="C89" i="57"/>
  <c r="G80" i="59"/>
  <c r="S118" i="59"/>
  <c r="O95" i="57"/>
  <c r="O44" i="57"/>
  <c r="O46" i="57"/>
  <c r="S123" i="58"/>
  <c r="J168" i="59"/>
  <c r="O63" i="57"/>
  <c r="O66" i="57" s="1"/>
  <c r="S124" i="59" s="1"/>
  <c r="S184" i="59" s="1"/>
  <c r="S185" i="59" s="1"/>
  <c r="S186" i="59" s="1"/>
  <c r="S196" i="59" s="1"/>
  <c r="O65" i="57"/>
  <c r="S123" i="59" s="1"/>
  <c r="C92" i="57"/>
  <c r="S124" i="58"/>
  <c r="P94" i="57"/>
  <c r="O97" i="57" s="1"/>
  <c r="S196" i="61"/>
  <c r="S168" i="63"/>
  <c r="S184" i="63" s="1"/>
  <c r="S186" i="63" s="1"/>
  <c r="S118" i="63"/>
  <c r="J168" i="63"/>
  <c r="G80" i="58"/>
  <c r="J160" i="58"/>
  <c r="S80" i="58"/>
  <c r="S196" i="63" l="1"/>
  <c r="S185" i="63"/>
  <c r="J168" i="58"/>
  <c r="S118" i="58"/>
  <c r="S168" i="58"/>
  <c r="S184" i="58" s="1"/>
  <c r="S185" i="58" l="1"/>
  <c r="S186" i="58" s="1"/>
  <c r="S196" i="58" s="1"/>
  <c r="N51" i="56"/>
  <c r="S183" i="56"/>
  <c r="S182" i="56"/>
  <c r="S181" i="56"/>
  <c r="S180" i="56"/>
  <c r="S179" i="56"/>
  <c r="S178" i="56"/>
  <c r="S175" i="56"/>
  <c r="S167" i="56"/>
  <c r="S160" i="56"/>
  <c r="J160" i="56"/>
  <c r="S158" i="56"/>
  <c r="S146" i="56"/>
  <c r="S134" i="56"/>
  <c r="J134" i="56"/>
  <c r="S108" i="56"/>
  <c r="N80" i="56"/>
  <c r="S37" i="56"/>
  <c r="J4" i="56"/>
  <c r="K29" i="55"/>
  <c r="V13" i="55"/>
  <c r="H15" i="55"/>
  <c r="V12" i="55"/>
  <c r="V11" i="55"/>
  <c r="Y15" i="55"/>
  <c r="X15" i="55"/>
  <c r="W15" i="55"/>
  <c r="U15" i="55"/>
  <c r="T15" i="55"/>
  <c r="S15" i="55"/>
  <c r="R15" i="55"/>
  <c r="Q15" i="55"/>
  <c r="D23" i="55"/>
  <c r="C24" i="55"/>
  <c r="B24" i="55"/>
  <c r="C29" i="55" s="1"/>
  <c r="D22" i="55"/>
  <c r="D21" i="55"/>
  <c r="D20" i="55"/>
  <c r="D19" i="55"/>
  <c r="D18" i="55"/>
  <c r="D17" i="55"/>
  <c r="D16" i="55"/>
  <c r="D15" i="55"/>
  <c r="D14" i="55"/>
  <c r="D13" i="55"/>
  <c r="D12" i="55"/>
  <c r="D11" i="55"/>
  <c r="V15" i="55" l="1"/>
  <c r="D24" i="55"/>
  <c r="C30" i="55" s="1"/>
  <c r="D29" i="55" s="1"/>
  <c r="K31" i="55" s="1"/>
  <c r="S183" i="54"/>
  <c r="S182" i="54"/>
  <c r="S181" i="54"/>
  <c r="S180" i="54"/>
  <c r="S179" i="54"/>
  <c r="S178" i="54"/>
  <c r="S175" i="54"/>
  <c r="S167" i="54"/>
  <c r="J160" i="54"/>
  <c r="S158" i="54"/>
  <c r="S146" i="54"/>
  <c r="S160" i="54" s="1"/>
  <c r="S134" i="54"/>
  <c r="J134" i="54"/>
  <c r="S108" i="54"/>
  <c r="N80" i="54"/>
  <c r="S37" i="54"/>
  <c r="J4" i="54"/>
  <c r="L31" i="55" l="1"/>
  <c r="L33" i="55" s="1"/>
  <c r="S45" i="56" s="1"/>
  <c r="K33" i="55" l="1"/>
  <c r="S42" i="56" s="1"/>
  <c r="N42" i="56"/>
  <c r="S51" i="56"/>
  <c r="S77" i="56" s="1"/>
  <c r="P18" i="53"/>
  <c r="I18" i="53"/>
  <c r="H18" i="53"/>
  <c r="G18" i="53"/>
  <c r="E18" i="53"/>
  <c r="D18" i="53"/>
  <c r="C18" i="53"/>
  <c r="F16" i="53"/>
  <c r="J16" i="53" s="1"/>
  <c r="K16" i="53" s="1"/>
  <c r="F15" i="53"/>
  <c r="J15" i="53" s="1"/>
  <c r="K15" i="53" s="1"/>
  <c r="F14" i="53"/>
  <c r="J14" i="53" s="1"/>
  <c r="K14" i="53" s="1"/>
  <c r="F13" i="53"/>
  <c r="J13" i="53" s="1"/>
  <c r="K13" i="53" s="1"/>
  <c r="F12" i="53"/>
  <c r="J12" i="53" s="1"/>
  <c r="K12" i="53" s="1"/>
  <c r="F11" i="53"/>
  <c r="J11" i="53" s="1"/>
  <c r="K11" i="53" s="1"/>
  <c r="N10" i="53"/>
  <c r="F10" i="53"/>
  <c r="K10" i="53" s="1"/>
  <c r="S80" i="56" l="1"/>
  <c r="G80" i="56"/>
  <c r="J18" i="53"/>
  <c r="K18" i="53"/>
  <c r="L23" i="53"/>
  <c r="F18" i="53"/>
  <c r="M12" i="53"/>
  <c r="M13" i="53"/>
  <c r="M11" i="53"/>
  <c r="M14" i="53"/>
  <c r="M16" i="53"/>
  <c r="M15" i="53"/>
  <c r="M10" i="53"/>
  <c r="O10" i="53" s="1"/>
  <c r="Q10" i="53" s="1"/>
  <c r="L10" i="53"/>
  <c r="N11" i="53"/>
  <c r="S168" i="56" l="1"/>
  <c r="S184" i="56" s="1"/>
  <c r="S186" i="56" s="1"/>
  <c r="J168" i="56"/>
  <c r="S118" i="56"/>
  <c r="S185" i="56" s="1"/>
  <c r="L11" i="53"/>
  <c r="L24" i="53"/>
  <c r="M18" i="53"/>
  <c r="Q9" i="53"/>
  <c r="O11" i="53"/>
  <c r="Q11" i="53" s="1"/>
  <c r="N12" i="53"/>
  <c r="S196" i="56" l="1"/>
  <c r="L25" i="53"/>
  <c r="O12" i="53"/>
  <c r="Q12" i="53" s="1"/>
  <c r="N13" i="53"/>
  <c r="L12" i="53"/>
  <c r="L26" i="53" l="1"/>
  <c r="O13" i="53"/>
  <c r="N14" i="53"/>
  <c r="L13" i="53"/>
  <c r="L27" i="53" l="1"/>
  <c r="O14" i="53"/>
  <c r="Q14" i="53" s="1"/>
  <c r="N15" i="53"/>
  <c r="L14" i="53"/>
  <c r="Q13" i="53"/>
  <c r="L28" i="53" l="1"/>
  <c r="O15" i="53"/>
  <c r="N16" i="53"/>
  <c r="L15" i="53"/>
  <c r="L29" i="53" l="1"/>
  <c r="L31" i="53" s="1"/>
  <c r="J31" i="53"/>
  <c r="O16" i="53"/>
  <c r="Q16" i="53" s="1"/>
  <c r="L16" i="53"/>
  <c r="Q15" i="53"/>
  <c r="K31" i="53" l="1"/>
  <c r="L18" i="53"/>
  <c r="N42" i="54" l="1"/>
  <c r="S58" i="54"/>
  <c r="S77" i="54" s="1"/>
  <c r="O18" i="53"/>
  <c r="S80" i="54" l="1"/>
  <c r="G80" i="54"/>
  <c r="M8" i="18"/>
  <c r="M9" i="18"/>
  <c r="L9" i="18"/>
  <c r="L8" i="18"/>
  <c r="O13" i="18"/>
  <c r="P13" i="18"/>
  <c r="Q13" i="18"/>
  <c r="S13" i="18"/>
  <c r="T13" i="18"/>
  <c r="S25" i="52"/>
  <c r="N15" i="52"/>
  <c r="V16" i="52" l="1"/>
  <c r="V17" i="52"/>
  <c r="S15" i="52"/>
  <c r="V15" i="52"/>
  <c r="J168" i="54"/>
  <c r="S118" i="54"/>
  <c r="S168" i="54"/>
  <c r="S184" i="54" s="1"/>
  <c r="S186" i="54" s="1"/>
  <c r="M10" i="18"/>
  <c r="N8" i="18"/>
  <c r="L10" i="18"/>
  <c r="S196" i="54" l="1"/>
  <c r="S185" i="54"/>
  <c r="N10" i="18"/>
  <c r="O8" i="18"/>
  <c r="C30" i="8"/>
  <c r="S183" i="52"/>
  <c r="S182" i="52"/>
  <c r="S181" i="52"/>
  <c r="S180" i="52"/>
  <c r="S179" i="52"/>
  <c r="S178" i="52"/>
  <c r="S175" i="52"/>
  <c r="S167" i="52"/>
  <c r="S158" i="52"/>
  <c r="S146" i="52"/>
  <c r="S134" i="52"/>
  <c r="J134" i="52"/>
  <c r="N80" i="52"/>
  <c r="S28" i="52"/>
  <c r="N28" i="52"/>
  <c r="N27" i="52"/>
  <c r="S26" i="52"/>
  <c r="N26" i="52"/>
  <c r="N25" i="52"/>
  <c r="B8" i="52"/>
  <c r="J4" i="52"/>
  <c r="S160" i="52" l="1"/>
  <c r="O10" i="18"/>
  <c r="P10" i="18"/>
  <c r="J160" i="52"/>
  <c r="H42" i="8"/>
  <c r="I42" i="8" s="1"/>
  <c r="Q8" i="18" l="1"/>
  <c r="Q10" i="18" s="1"/>
  <c r="M20" i="7" l="1"/>
  <c r="N20" i="7" s="1"/>
  <c r="O20" i="7" s="1"/>
  <c r="M19" i="7"/>
  <c r="N19" i="7" s="1"/>
  <c r="O19" i="7" s="1"/>
  <c r="M18" i="7"/>
  <c r="N18" i="7" s="1"/>
  <c r="O18" i="7" s="1"/>
  <c r="M17" i="7"/>
  <c r="N17" i="7" s="1"/>
  <c r="O17" i="7" s="1"/>
  <c r="M15" i="7"/>
  <c r="N15" i="7" s="1"/>
  <c r="O15" i="7" s="1"/>
  <c r="M14" i="7"/>
  <c r="N14" i="7" s="1"/>
  <c r="O14" i="7" s="1"/>
  <c r="M13" i="7"/>
  <c r="N13" i="7" s="1"/>
  <c r="O13" i="7" s="1"/>
  <c r="M12" i="7"/>
  <c r="N12" i="7" s="1"/>
  <c r="O12" i="7" s="1"/>
  <c r="M11" i="7"/>
  <c r="N11" i="7" s="1"/>
  <c r="O11" i="7" s="1"/>
  <c r="M10" i="7"/>
  <c r="N10" i="7" s="1"/>
  <c r="O10" i="7" s="1"/>
  <c r="M9" i="7"/>
  <c r="N9" i="7" s="1"/>
  <c r="O9" i="7" s="1"/>
  <c r="S24" i="52" l="1"/>
  <c r="N24" i="52"/>
  <c r="O36" i="2" l="1"/>
  <c r="N36" i="2"/>
  <c r="M36" i="2"/>
  <c r="J36" i="2"/>
  <c r="I36" i="2"/>
  <c r="H36" i="2"/>
  <c r="G36" i="2"/>
  <c r="S20" i="7"/>
  <c r="E78" i="8"/>
  <c r="H47" i="8"/>
  <c r="I47" i="8" s="1"/>
  <c r="H46" i="8"/>
  <c r="I46" i="8" s="1"/>
  <c r="T10" i="7"/>
  <c r="T11" i="7"/>
  <c r="T12" i="7"/>
  <c r="T13" i="7"/>
  <c r="T14" i="7"/>
  <c r="T16" i="7"/>
  <c r="T17" i="7"/>
  <c r="T18" i="7"/>
  <c r="T19" i="7"/>
  <c r="H45" i="8" l="1"/>
  <c r="I45" i="8" s="1"/>
  <c r="C85" i="8"/>
  <c r="O16" i="23"/>
  <c r="Q15" i="23"/>
  <c r="J8" i="8" l="1"/>
  <c r="C23" i="12" l="1"/>
  <c r="T15" i="23"/>
  <c r="R18" i="23"/>
  <c r="P18" i="23"/>
  <c r="M18" i="23"/>
  <c r="L18" i="23"/>
  <c r="O18" i="23"/>
  <c r="N16" i="23"/>
  <c r="N15" i="23"/>
  <c r="N18" i="23" l="1"/>
  <c r="E17" i="23" s="1"/>
  <c r="Q16" i="23"/>
  <c r="Q18" i="23" s="1"/>
  <c r="G17" i="23" s="1"/>
  <c r="Y15" i="23"/>
  <c r="T17" i="23"/>
  <c r="T18" i="23" s="1"/>
  <c r="Y17" i="23" l="1"/>
  <c r="Y18" i="23" s="1"/>
  <c r="G34" i="8" l="1"/>
  <c r="C21" i="7"/>
  <c r="C20" i="7"/>
  <c r="C19" i="7"/>
  <c r="C18" i="7"/>
  <c r="C17" i="7"/>
  <c r="C16" i="7"/>
  <c r="C15" i="7"/>
  <c r="C14" i="7"/>
  <c r="C13" i="7"/>
  <c r="C12" i="7"/>
  <c r="C11" i="7"/>
  <c r="U15" i="23" s="1"/>
  <c r="C10" i="7"/>
  <c r="C9" i="7"/>
  <c r="I11" i="8"/>
  <c r="H11" i="8"/>
  <c r="G11" i="8"/>
  <c r="J11" i="8" s="1"/>
  <c r="F11" i="8"/>
  <c r="D11" i="8"/>
  <c r="C11" i="8"/>
  <c r="E61" i="8"/>
  <c r="E60" i="8"/>
  <c r="C49" i="8"/>
  <c r="D49" i="8"/>
  <c r="E49" i="8"/>
  <c r="X45" i="52" l="1"/>
  <c r="N45" i="52"/>
  <c r="U17" i="23"/>
  <c r="U18" i="23" s="1"/>
  <c r="Z15" i="23"/>
  <c r="Z17" i="23" s="1"/>
  <c r="Z18" i="23" s="1"/>
  <c r="F49" i="8" l="1"/>
  <c r="S21" i="52"/>
  <c r="S37" i="52" s="1"/>
  <c r="N21" i="52"/>
  <c r="I8" i="8"/>
  <c r="I7" i="8" s="1"/>
  <c r="S47" i="52"/>
  <c r="C8" i="8"/>
  <c r="C7" i="8" s="1"/>
  <c r="K8" i="8"/>
  <c r="I10" i="8"/>
  <c r="H10" i="8"/>
  <c r="G10" i="8"/>
  <c r="J10" i="8" s="1"/>
  <c r="S54" i="52" s="1"/>
  <c r="F10" i="8"/>
  <c r="C86" i="8" l="1"/>
  <c r="N47" i="52"/>
  <c r="N51" i="52"/>
  <c r="V55" i="52"/>
  <c r="N55" i="52"/>
  <c r="W54" i="52"/>
  <c r="J9" i="8"/>
  <c r="W55" i="52" s="1"/>
  <c r="D7" i="8"/>
  <c r="D78" i="8" l="1"/>
  <c r="U45" i="52"/>
  <c r="N54" i="52"/>
  <c r="E67" i="8"/>
  <c r="E66" i="8"/>
  <c r="E65" i="8"/>
  <c r="E64" i="8"/>
  <c r="E63" i="8"/>
  <c r="E59" i="8"/>
  <c r="E58" i="8"/>
  <c r="E57" i="8"/>
  <c r="E56" i="8"/>
  <c r="K9" i="8" l="1"/>
  <c r="K10" i="8"/>
  <c r="H44" i="8" l="1"/>
  <c r="I44" i="8" s="1"/>
  <c r="H41" i="8"/>
  <c r="I41" i="8" s="1"/>
  <c r="H38" i="8"/>
  <c r="I38" i="8" s="1"/>
  <c r="H48" i="8"/>
  <c r="I48" i="8" s="1"/>
  <c r="H40" i="8"/>
  <c r="I40" i="8" s="1"/>
  <c r="H39" i="8"/>
  <c r="I39" i="8" s="1"/>
  <c r="H34" i="8"/>
  <c r="I49" i="8" l="1"/>
  <c r="H49" i="8"/>
  <c r="G20" i="7"/>
  <c r="H20" i="7" s="1"/>
  <c r="I20" i="7" s="1"/>
  <c r="G19" i="7"/>
  <c r="H19" i="7" s="1"/>
  <c r="I19" i="7" s="1"/>
  <c r="G18" i="7"/>
  <c r="H18" i="7" s="1"/>
  <c r="I18" i="7" s="1"/>
  <c r="G28" i="8"/>
  <c r="F28" i="8"/>
  <c r="U37" i="52" s="1"/>
  <c r="E28" i="8"/>
  <c r="C62" i="8" s="1"/>
  <c r="D28" i="8"/>
  <c r="C28" i="8"/>
  <c r="J18" i="4"/>
  <c r="I18" i="4"/>
  <c r="H18" i="4"/>
  <c r="D62" i="8" l="1"/>
  <c r="E62" i="8" s="1"/>
  <c r="J108" i="52"/>
  <c r="T9" i="7"/>
  <c r="C68" i="8"/>
  <c r="C71" i="8" s="1"/>
  <c r="S108" i="52" l="1"/>
  <c r="C79" i="8" s="1"/>
  <c r="R15" i="7"/>
  <c r="T15" i="7" s="1"/>
  <c r="V15" i="7" s="1"/>
  <c r="V21" i="7" s="1"/>
  <c r="T20" i="7"/>
  <c r="D68" i="8"/>
  <c r="E68" i="8"/>
  <c r="R21" i="7" l="1"/>
  <c r="T21" i="7"/>
  <c r="V22" i="7" s="1"/>
  <c r="C72" i="8"/>
  <c r="D71" i="8" s="1"/>
  <c r="J14" i="8" s="1"/>
  <c r="K14" i="8" s="1"/>
  <c r="J7" i="8" l="1"/>
  <c r="K7" i="8" s="1"/>
  <c r="J13" i="8"/>
  <c r="K13" i="8" s="1"/>
  <c r="V42" i="52" l="1"/>
  <c r="V44" i="52" s="1"/>
  <c r="K11" i="8"/>
  <c r="S42" i="52" s="1"/>
  <c r="W42" i="52" l="1"/>
  <c r="W44" i="52" s="1"/>
  <c r="S45" i="52" s="1"/>
  <c r="G9" i="7" l="1"/>
  <c r="H9" i="7" s="1"/>
  <c r="I9" i="7" l="1"/>
  <c r="G10" i="7"/>
  <c r="H10" i="7" s="1"/>
  <c r="I10" i="7" l="1"/>
  <c r="G11" i="7"/>
  <c r="H11" i="7" s="1"/>
  <c r="I11" i="7" l="1"/>
  <c r="G12" i="7"/>
  <c r="H12" i="7" s="1"/>
  <c r="I12" i="7" l="1"/>
  <c r="G13" i="7"/>
  <c r="H13" i="7" s="1"/>
  <c r="G14" i="7" l="1"/>
  <c r="H14" i="7" s="1"/>
  <c r="I13" i="7"/>
  <c r="G15" i="7" l="1"/>
  <c r="H15" i="7" s="1"/>
  <c r="I14" i="7"/>
  <c r="I15" i="7" l="1"/>
  <c r="D80" i="8" l="1"/>
  <c r="G17" i="7"/>
  <c r="H17" i="7" s="1"/>
  <c r="S60" i="52" s="1"/>
  <c r="I17" i="7" l="1"/>
  <c r="S77" i="52"/>
  <c r="V77" i="52" s="1"/>
  <c r="S80" i="52" l="1"/>
  <c r="S168" i="52" s="1"/>
  <c r="S184" i="52" s="1"/>
  <c r="G80" i="52"/>
  <c r="D81" i="8"/>
  <c r="C82" i="8" l="1"/>
  <c r="C88" i="8" s="1"/>
  <c r="F16" i="7"/>
  <c r="S118" i="52"/>
  <c r="S186" i="52" s="1"/>
  <c r="G16" i="7" l="1"/>
  <c r="H16" i="7" s="1"/>
  <c r="J168" i="52"/>
  <c r="L16" i="7" s="1"/>
  <c r="M16" i="7" s="1"/>
  <c r="N16" i="7" s="1"/>
  <c r="O16" i="7" s="1"/>
  <c r="O21" i="7" s="1"/>
  <c r="C26" i="12"/>
  <c r="C30" i="12" s="1"/>
  <c r="S196" i="52"/>
  <c r="I16" i="7" l="1"/>
  <c r="I21" i="7" s="1"/>
  <c r="C12" i="23"/>
  <c r="B17" i="23" s="1"/>
  <c r="D83" i="8"/>
  <c r="D88" i="8" s="1"/>
  <c r="D89" i="8" s="1"/>
  <c r="B19" i="23" l="1"/>
  <c r="D17" i="23"/>
  <c r="S197" i="63" l="1"/>
  <c r="S201" i="63" s="1"/>
  <c r="S197" i="52"/>
  <c r="S197" i="56"/>
  <c r="S201" i="56" s="1"/>
  <c r="S197" i="61"/>
  <c r="S201" i="61" s="1"/>
  <c r="D19" i="23"/>
  <c r="S197" i="59"/>
  <c r="S201" i="59" s="1"/>
  <c r="S197" i="58"/>
  <c r="S201" i="58" s="1"/>
  <c r="S197" i="54"/>
  <c r="S201" i="54" s="1"/>
  <c r="F17" i="23"/>
  <c r="H17" i="23"/>
  <c r="H18" i="23" s="1"/>
  <c r="H19" i="23" s="1"/>
  <c r="I17" i="23" l="1"/>
  <c r="F18" i="23"/>
  <c r="S198" i="52"/>
  <c r="F19" i="23" l="1"/>
  <c r="I18" i="23"/>
  <c r="S200" i="52" l="1"/>
  <c r="S201" i="52" s="1"/>
  <c r="I19" i="23"/>
  <c r="I21" i="23" s="1"/>
  <c r="E17" i="8" l="1"/>
  <c r="F16" i="8"/>
  <c r="C16" i="8"/>
  <c r="D16" i="8"/>
  <c r="D17" i="8" s="1"/>
  <c r="G16" i="8"/>
  <c r="J16" i="8"/>
  <c r="H16" i="8"/>
  <c r="H17" i="8" s="1"/>
  <c r="K16" i="8"/>
  <c r="I16" i="8"/>
  <c r="F17" i="8" l="1"/>
  <c r="U77" i="52"/>
  <c r="I17" i="8"/>
</calcChain>
</file>

<file path=xl/sharedStrings.xml><?xml version="1.0" encoding="utf-8"?>
<sst xmlns="http://schemas.openxmlformats.org/spreadsheetml/2006/main" count="5136" uniqueCount="998">
  <si>
    <t>Determinación Impuesto Mensual.</t>
  </si>
  <si>
    <t xml:space="preserve">Formulario 29 </t>
  </si>
  <si>
    <t>Calculo Impuesto Mensual</t>
  </si>
  <si>
    <t xml:space="preserve">Empresa </t>
  </si>
  <si>
    <t>RUT</t>
  </si>
  <si>
    <t>Acceso SII</t>
  </si>
  <si>
    <t>Indice</t>
  </si>
  <si>
    <t>Observaciones</t>
  </si>
  <si>
    <t>Monto a Pago</t>
  </si>
  <si>
    <t>Resumen Libros</t>
  </si>
  <si>
    <t>Resumen del SII</t>
  </si>
  <si>
    <t>Registro Venta</t>
  </si>
  <si>
    <t>Se utiliza RC e Imagen del SII</t>
  </si>
  <si>
    <t>Registro Compra</t>
  </si>
  <si>
    <t>Se utiliza RV e Imagen del SII</t>
  </si>
  <si>
    <t>Informe Honorarios</t>
  </si>
  <si>
    <t>Informe e Imagen del SII</t>
  </si>
  <si>
    <t>Total</t>
  </si>
  <si>
    <t>Nota:</t>
  </si>
  <si>
    <t>Saldos y libros se validan con la contabildad y no debieran haber diferencias.</t>
  </si>
  <si>
    <t>Concepto</t>
  </si>
  <si>
    <t>PERIODO TRIBUTARIO</t>
  </si>
  <si>
    <t>ROL UNICO TRIBUTARIO</t>
  </si>
  <si>
    <t>FOLIO</t>
  </si>
  <si>
    <t>MES</t>
  </si>
  <si>
    <t>Año</t>
  </si>
  <si>
    <t>Apellido Paterno o Razón Social</t>
  </si>
  <si>
    <t>Apellido Materno</t>
  </si>
  <si>
    <t>Nombres</t>
  </si>
  <si>
    <t>DÉBITOS y VENTAS</t>
  </si>
  <si>
    <t>VENTAS Y/O SERVICIOS PRESTADOS</t>
  </si>
  <si>
    <t>INFORMACIÓN DE INGRESOS</t>
  </si>
  <si>
    <t>IMPUESTO AL VALOR AGREGADO D.L.825/74</t>
  </si>
  <si>
    <t>Cantidad de Documentos</t>
  </si>
  <si>
    <t>Monto Neto</t>
  </si>
  <si>
    <t>Exportaciones</t>
  </si>
  <si>
    <t>Ventas y/o Servicios prestados Exentos, o No Gravados del giro</t>
  </si>
  <si>
    <t>Ventas con retención sobre el margen de comercialización (contribuyentes retenidos)</t>
  </si>
  <si>
    <t>Ventas y/o Servicios prestados exentos o No Gravados que no son del giro</t>
  </si>
  <si>
    <t>Facturas de Compra recibidas con retención total (contribuyentes retenidos) y Factura de Inicio emitida</t>
  </si>
  <si>
    <t>Facturas de compras recibidas con retención parcial (Total neto según línea Nº16)</t>
  </si>
  <si>
    <t>GENERA DÉBITO</t>
  </si>
  <si>
    <t>Débito</t>
  </si>
  <si>
    <t>Facturas emitidas por ventas y servicios del giro, o por cuenta de terceros</t>
  </si>
  <si>
    <t>+</t>
  </si>
  <si>
    <t>Facturas emitidas por la venta de bienes inmuebles afectas a IVA</t>
  </si>
  <si>
    <t>Facturas y Notas de Débitos por ventas y servicios que no son del giro (activo fijo y otros)</t>
  </si>
  <si>
    <t>Boletas</t>
  </si>
  <si>
    <t>Comprobantes o Recibos de Pago generados en transacciones pagadas a través de medios electrónicos</t>
  </si>
  <si>
    <t>Notas de Débito emitidas asociadas al giro</t>
  </si>
  <si>
    <t>Notas de Crédito emitidas por Facturas asociadas al giro</t>
  </si>
  <si>
    <t>-</t>
  </si>
  <si>
    <t>Notas de Crédito emitidas por Vales de máquinas autorizadas por el Servicio</t>
  </si>
  <si>
    <t>Notas de Crédito emitidas por ventas y servicios que no son del giro (activo fijo y otros)</t>
  </si>
  <si>
    <t>Facturas de Compra recibidas con retención parcial (contribuyentes retenidos)</t>
  </si>
  <si>
    <t>Liquidación y Liquidación Factura</t>
  </si>
  <si>
    <t>Adiciones al Débito Fiscal del mes, originadas en devoluciones excesivas registradas en otros períodos por Art.27 bis</t>
  </si>
  <si>
    <t>Restitución Adicional por proporción de operaciones exentas y/o no gravadas por concepto Art.27 bis, inc.2º (Ley 19.738/01)</t>
  </si>
  <si>
    <t>Reintegro del Impuesto de Timbres y Estampillas, Art. 3º Ley N° 20.259 e IVA determinado en el Arrendamiento esporádico de BBRR amoblados</t>
  </si>
  <si>
    <t>Adiciones al Débito por IEPD. Ley 20.765</t>
  </si>
  <si>
    <t>M3</t>
  </si>
  <si>
    <t>Base</t>
  </si>
  <si>
    <t>Variable</t>
  </si>
  <si>
    <t>Restitución Adicional por proporción de operaciones exentas y/o no gravadas por concepto Reembolso Remanente CF IVA (Ley 21,256)</t>
  </si>
  <si>
    <t>TOTAL DEBITOS</t>
  </si>
  <si>
    <t>=</t>
  </si>
  <si>
    <t>CRÉDITOS Y COMPRAS</t>
  </si>
  <si>
    <t>COMPRAS Y/O SERVICIOS UTILIZADOS</t>
  </si>
  <si>
    <t>Proporcionalidad</t>
  </si>
  <si>
    <t>IMPUESTO AL VALOR AGREGADO D.L. 825/74</t>
  </si>
  <si>
    <t>CON DERECHO A CRÉDITO</t>
  </si>
  <si>
    <t>SIN DERECHO A CRÉDITO</t>
  </si>
  <si>
    <t>Iva Con Derecho</t>
  </si>
  <si>
    <t>Iva Sin Derecho</t>
  </si>
  <si>
    <t>IVA por documentos electrónicos recibidos</t>
  </si>
  <si>
    <t>SIN DERECHO A CRÉDITO FISCAL</t>
  </si>
  <si>
    <t xml:space="preserve">Neto </t>
  </si>
  <si>
    <t>IVA no Recuperable</t>
  </si>
  <si>
    <t>Internas afectas</t>
  </si>
  <si>
    <t>Importaciones</t>
  </si>
  <si>
    <t>Internas exentas, o no gravadas</t>
  </si>
  <si>
    <t>CON DERECHO A CRÉDITO FISCAL</t>
  </si>
  <si>
    <t>INTERNAS</t>
  </si>
  <si>
    <t>Crédito, Recuperación y Reintegro</t>
  </si>
  <si>
    <t>Facturas recibidas del giro y Facturas de compra emitidas</t>
  </si>
  <si>
    <t>Facturas recibidas de Proveedores: Supermercados y Comercios similares, Art.23 Nº4 D.L.825, de 1974 (Ley Nº20.780)</t>
  </si>
  <si>
    <t>Facturas recibidas por Adquisición o Construcción de Bienes Inmuebles, Art.8º transitorio (Ley Nº20.780)</t>
  </si>
  <si>
    <t>Facturas activo fijo</t>
  </si>
  <si>
    <t>Activo Fijo</t>
  </si>
  <si>
    <t>Notas de Crédito recibidas y Notas de credito emitidas por retencion de cambio de sujeto</t>
  </si>
  <si>
    <t>Notas de Débito recibidas y Notas de Debito emitidas por retencion de cambio de sujeto</t>
  </si>
  <si>
    <t>IMPORTACIONES</t>
  </si>
  <si>
    <t>Declaraciones de Ingreso (DIN) importaciones del giro</t>
  </si>
  <si>
    <t>Declaraciones de Ingreso (DIN) importaciones de activo fijo</t>
  </si>
  <si>
    <t>Remanente Crédito Fiscal mes anterior</t>
  </si>
  <si>
    <t>Devolución Solicitud Art. 36 (Exportadores)</t>
  </si>
  <si>
    <t>Devolución Solicitud Art. 27 bis (Activo fijo)</t>
  </si>
  <si>
    <t>Certificado Imputación Art. 27 bis (Activo fijo)</t>
  </si>
  <si>
    <t>Devolución Solicitud Art. 3º (Cambio de Sujeto)</t>
  </si>
  <si>
    <t>Devolución Solicitud Ley Nº 20.258, por remanente CF IVA, originado en Impuesto específico Petroleo Diesel (Generadoras Eléctricas)</t>
  </si>
  <si>
    <t>Devolución Solicitud Reembolso Remanente de Credito Fiscal IVA</t>
  </si>
  <si>
    <t>Monto Reintegrado por Devolución Indebida de Crédito Fiscal D.S. 348 (Exportadores)</t>
  </si>
  <si>
    <t>LEY 20.765</t>
  </si>
  <si>
    <t>M3 COMPRADOS CON DERECHO A CRÉDITO</t>
  </si>
  <si>
    <t>COMPONENTES DEL IMPUESTO</t>
  </si>
  <si>
    <t>Recuperación de Impuesto Específico al Petróleo Diesel (Art. 7º Ley 18.502, Arts.1º y 3º D.S. Nº 311/86)</t>
  </si>
  <si>
    <t>Recuperación Impuesto Específico Petróleo Diesel soportado por Transportistas de Carga (Art. 2º Ley Nº19.764)</t>
  </si>
  <si>
    <t>Crédito del Art.11º Ley 18.211 (correspondiente a Zona Franca de Extensión)</t>
  </si>
  <si>
    <t>Crédito por Impuesto de Timbres y Estampillas, Art. 3º Ley Nº 20.259</t>
  </si>
  <si>
    <t>Crédito por IVA restituido a aportantes sin domicilio ni residencia en Chile (Art. 83, del artículo primero Ley 20.712)</t>
  </si>
  <si>
    <t>TOTAL CRÉDITOS</t>
  </si>
  <si>
    <t>POSTERGACION DE IVA (LEY 20.780)</t>
  </si>
  <si>
    <t>IMPUESTO DETERMINADO</t>
  </si>
  <si>
    <t>Remanente de crédito fiscal para el período siguiente</t>
  </si>
  <si>
    <t>Postergación pago del IVA</t>
  </si>
  <si>
    <t>IVA determinado</t>
  </si>
  <si>
    <t>POSTERGACION DE IVA EN 12 CUOTAS (LEY 21.207)</t>
  </si>
  <si>
    <t>Saldo de IVA postergado en 12 cuotas</t>
  </si>
  <si>
    <t>Monto de IVA postergado en 12 cuotas.</t>
  </si>
  <si>
    <t>Monto cuota a pagar por IVA postergado.</t>
  </si>
  <si>
    <t>Saldo de IVA postergado en (6 o 12 cuotas)</t>
  </si>
  <si>
    <t>Monto de IVA postergado en (6 o 12 cuotas)</t>
  </si>
  <si>
    <t>Monto total IVA postergado ( Ley 20.780) en (6 o 12) cuotas.</t>
  </si>
  <si>
    <t>Monto cuota a pagar por IVA Postergado</t>
  </si>
  <si>
    <t>Monto total IVA postergado ( Ley 21.207) en (6 o 12) cuotas.</t>
  </si>
  <si>
    <t>Monto total IVA postergado ( DIN) en (6 o 12) cuotas.</t>
  </si>
  <si>
    <t>Monto total IVA postergado (Tributacion Simplificada) en (6 o 12) cuotas.</t>
  </si>
  <si>
    <t>Restitución de devolución por concepto de Art. 27 ter D.L. 825, de 1974, inc. 2º (Ley Nº 20.720)</t>
  </si>
  <si>
    <t>Certificado Imputacion Art. 27 ter D.L. 825 de 1974, inc. 1 ° (Ley N° 20.720)</t>
  </si>
  <si>
    <t>IMPUESTO A LA RENTA D.L. 824/74</t>
  </si>
  <si>
    <t>RETENCIONES</t>
  </si>
  <si>
    <t>Retención Impuesto Primera Categoría por rentas de capitales mobiliarios del Art.20 Nº2, según Art.73 LIR</t>
  </si>
  <si>
    <t>Retención Impuesto Único a los Trabajadores, según Art. 74 Nº 1 LIR</t>
  </si>
  <si>
    <t>Créditos</t>
  </si>
  <si>
    <t>Donación Art. 8º Ley 18.985/2013</t>
  </si>
  <si>
    <t>Donación Ley 20.444/2010</t>
  </si>
  <si>
    <t>Impuesto Único 2da. Categoría a Pagar</t>
  </si>
  <si>
    <t>Retención de Impuesto con tasa del 10% sobre las rentas del Art. 48, según Art. 74 N° 3 LIR</t>
  </si>
  <si>
    <t>Retención a Suplementeros, según Art. 74 N°5 (tasa 0,5%) LIR</t>
  </si>
  <si>
    <t>Retención por compra de productos mineros, según Art. 74 N° 6 LIR</t>
  </si>
  <si>
    <t>Retención sobre cantidades pagadas en cumplimiento de Seguros Dotales del Art. 17 N° 3 (tasa 15%)</t>
  </si>
  <si>
    <t>Retención sobre retiros de Ahorro Previsional Voluntario del Art. 42 bis LIR (tasa 15%)</t>
  </si>
  <si>
    <t>PPM</t>
  </si>
  <si>
    <t>Acogido a suspensión PPM (Art 1ºbis Ley 19.420 y 1ºbis Ley 19.606)</t>
  </si>
  <si>
    <t>Monto Pérdida Art. 90</t>
  </si>
  <si>
    <t>Base Imponible</t>
  </si>
  <si>
    <t>Tasa</t>
  </si>
  <si>
    <t>Crédito / Tope Suspensión PPM (Arts. 1°bis Leyes 19.420 y 19.606)</t>
  </si>
  <si>
    <t>PPM Neto Determinado</t>
  </si>
  <si>
    <t>1ra. Categoría Art. 84 a)</t>
  </si>
  <si>
    <t>Mineros, Art.84 a)</t>
  </si>
  <si>
    <t>Explotador Minero Art. 84 h)</t>
  </si>
  <si>
    <t>Transportistas acogidos a Renta Presunta, Art 84, e) y f) (tasa de 0,3%)</t>
  </si>
  <si>
    <t>Crédito Capacitación, Ley 19.518/97</t>
  </si>
  <si>
    <t>Crédito del Mes</t>
  </si>
  <si>
    <t>Remanente Mes Anterior</t>
  </si>
  <si>
    <t>Remanente Período Siguiente</t>
  </si>
  <si>
    <t>Crédito a Imputar</t>
  </si>
  <si>
    <t>2da. Categoría Art. 84, b) (tasa 10%)</t>
  </si>
  <si>
    <t>Taller artesanal Art.84, c) (tasa de 1,5% o 3%)</t>
  </si>
  <si>
    <t>Renta Liquida Provisional inciso final de la letra a) del art. 84 de la LIR, Ley N° 21.210</t>
  </si>
  <si>
    <t>Sub total impuesto determinado anverso. (Suma de las líneas 49 a 64, columna Impuesto y/o PPM determinado)</t>
  </si>
  <si>
    <t>SISTEMA DE TRIBUTACIÓN SIMPLIFICADA DEL IVA, ART. 29 D.L. 825</t>
  </si>
  <si>
    <t>Ventas del período</t>
  </si>
  <si>
    <t>Crédito del período</t>
  </si>
  <si>
    <t>IVA determinado por concepto de Tributación Simplificada</t>
  </si>
  <si>
    <t>IMPUESTO ADICIONAL ART. 37 D.L. 825</t>
  </si>
  <si>
    <t>Letras e), h), i), l) (tasa 15%)</t>
  </si>
  <si>
    <t>Letra j) (tasa 50%)</t>
  </si>
  <si>
    <t>Débito de Impuesto Adicional Ventas Art. 37 letras a), b) y c) y Art. 40 D.L.825 (tasa 15%)</t>
  </si>
  <si>
    <t>Crédito de Impuesto Adicional Art.37 letras a), b) y c) D.L. 825</t>
  </si>
  <si>
    <t>Monto reintegrado por devolución indebida de crédito por exportadores D.L. 825</t>
  </si>
  <si>
    <t>Remanente crédito Art. 37 mes anterior D.L.825</t>
  </si>
  <si>
    <t>Devolución Solicitud Art.36 relativa al Impuesto Adicional Art.37 letras a), b) y c) D.L. 825</t>
  </si>
  <si>
    <t>Remanente crédito impuesto Art.37 para período siguiente</t>
  </si>
  <si>
    <t>Impuesto Adicional Art. 37 y Art. 40 determinado</t>
  </si>
  <si>
    <t>IMPUESTO ADICIONAL ART. 42 D.L. 825</t>
  </si>
  <si>
    <t>DÉBITOS</t>
  </si>
  <si>
    <t>Pisco, Licores, Whisky y Aguardiente (tasa 31,5%)</t>
  </si>
  <si>
    <t>Vinos, Champaña, Chichas (tasa 20,5%)</t>
  </si>
  <si>
    <t>Cervezas (tasa 20,5%)</t>
  </si>
  <si>
    <t>Bebidas analcohólicas (tasa 10%)</t>
  </si>
  <si>
    <t>Bebidas analcohólicas elevado contenido azúcares (tasa 18%)</t>
  </si>
  <si>
    <t>Notas de Débito emitidas</t>
  </si>
  <si>
    <t>Notas de Crédito emitidas por Facturas</t>
  </si>
  <si>
    <t>Total Débitos Art. 42 DL 825</t>
  </si>
  <si>
    <t>TOTAL CRÉDITO RECARGADO EN FACTURAS RECIBIDAS</t>
  </si>
  <si>
    <t>CRÉDITO IMPUTABLE DEL PERIODO</t>
  </si>
  <si>
    <t>Notas de Débito recibidas</t>
  </si>
  <si>
    <t>Notas de Crédito recibidas</t>
  </si>
  <si>
    <t>Remanente crédito Art.42 mes anterior</t>
  </si>
  <si>
    <t>Devolución Art. 36 D.L.825 relativas impuesto Art.42</t>
  </si>
  <si>
    <t>Monto reintegrado devoluciones indebidas de crédito por exportaciones</t>
  </si>
  <si>
    <t>Total créditos Art.42 DL 825</t>
  </si>
  <si>
    <t>Remanente crédito Imp. Adic. Art.42 para período siguiente</t>
  </si>
  <si>
    <t>Impuesto Adicional Art.42 determinado</t>
  </si>
  <si>
    <t>CAMBIO DE SUJETO D.L. 825</t>
  </si>
  <si>
    <t>ANTICIPO CAMBIO DE SUJETO (CONTRIBUYENTES RETENIDOS)</t>
  </si>
  <si>
    <t>IVA anticipado del período</t>
  </si>
  <si>
    <t>Remanente del mes anterior</t>
  </si>
  <si>
    <t>Devolución del mes anterior</t>
  </si>
  <si>
    <t>Total de Anticipo</t>
  </si>
  <si>
    <t>Remanente Anticipos Cambio Sujeto para período siguiente.</t>
  </si>
  <si>
    <t>Anticipo a imputar</t>
  </si>
  <si>
    <t>CAMBIO DE SUJETO (AGENTE RETENEDOR)</t>
  </si>
  <si>
    <t>IVA total retenido a terceros (tasa Art. 14 DL 825)</t>
  </si>
  <si>
    <t>IVA parcial retenido a terceros (según tasa)</t>
  </si>
  <si>
    <t>IVA Retenido por notas de crédito emitidas</t>
  </si>
  <si>
    <t>Retención de margen de comercialización</t>
  </si>
  <si>
    <t>Retención Anticipo de Cambio de Sujeto</t>
  </si>
  <si>
    <t>Retención Cambio de Sujeto</t>
  </si>
  <si>
    <t>CRÉDITOS ESPECIALES</t>
  </si>
  <si>
    <t>Crédito por Sistemas Solares Térmicos, Ley 20.365</t>
  </si>
  <si>
    <t>Remanente mes anterior</t>
  </si>
  <si>
    <t>Total Crédito</t>
  </si>
  <si>
    <t>Imputación del Pago Patente Aguas Ley 20.017</t>
  </si>
  <si>
    <t>Cotización Adicional Ley 18.566</t>
  </si>
  <si>
    <t>Crédito Especial Empresas Constructoras</t>
  </si>
  <si>
    <t>Recup. Peajes Transportistas Pasajeros, Ley 19.763</t>
  </si>
  <si>
    <t>Credito por desembolsos directores trazabilidad</t>
  </si>
  <si>
    <t>TOTAL DETERMINADO</t>
  </si>
  <si>
    <t>REMANENTE CRÉDITOS ESPECIALES</t>
  </si>
  <si>
    <t>Remanente Crédito por Sistemas Solares Térmicos, Ley 20.365</t>
  </si>
  <si>
    <t>Remanente periodo siguiente Patente Aguas, Ley 20.017</t>
  </si>
  <si>
    <t>Remanente de Cotización Adicional Ley 18.566</t>
  </si>
  <si>
    <t>Remanente Crédito Especial Empresas Constructoras</t>
  </si>
  <si>
    <t>Remanente Recup. de Peajes Trans. Pasajeros Ley 19.764</t>
  </si>
  <si>
    <t>Remanente Credito por desembolsos directos trazabilidad</t>
  </si>
  <si>
    <t>TOTAL A PAGAR DENTRO DEL PLAZO LEGAL (Suma lineas 1 a la 65)</t>
  </si>
  <si>
    <t>Más IPC</t>
  </si>
  <si>
    <t>Más Intereses y multas</t>
  </si>
  <si>
    <t>Condonacion</t>
  </si>
  <si>
    <t>N° Resolucion</t>
  </si>
  <si>
    <t>Vigencia</t>
  </si>
  <si>
    <t>Porcentaje</t>
  </si>
  <si>
    <t>Monto Condonacion</t>
  </si>
  <si>
    <t>TOTAL A PAGAR CON RECARGO</t>
  </si>
  <si>
    <t>Resumen de Compras</t>
  </si>
  <si>
    <t>Codigo</t>
  </si>
  <si>
    <t>Tipo Documento</t>
  </si>
  <si>
    <t>Total Documentos</t>
  </si>
  <si>
    <t>Monto Exento</t>
  </si>
  <si>
    <t>IVA Recuperable</t>
  </si>
  <si>
    <t>IVA Uso Comun</t>
  </si>
  <si>
    <t>IVA No Recuperable</t>
  </si>
  <si>
    <t>Monto Total</t>
  </si>
  <si>
    <t>Iva con Derecho</t>
  </si>
  <si>
    <t>Del Giro</t>
  </si>
  <si>
    <t>Factura ElectrÃ³nica Exenta (34)</t>
  </si>
  <si>
    <t>Nota de CrÃ©dito ElectrÃ³nica(61)</t>
  </si>
  <si>
    <t>Totales</t>
  </si>
  <si>
    <t>Resumen de Ventas</t>
  </si>
  <si>
    <t>Monto IVA</t>
  </si>
  <si>
    <t>Total Oper. del mes Boleta Electr.(39)</t>
  </si>
  <si>
    <t>Total Op. del mes Boleta Exenta Electr. (41)</t>
  </si>
  <si>
    <t>Informe Boletas de Honorarios</t>
  </si>
  <si>
    <t>Prestamo Terceros</t>
  </si>
  <si>
    <t>Mes</t>
  </si>
  <si>
    <t>Periodos</t>
  </si>
  <si>
    <t>Emisiones</t>
  </si>
  <si>
    <t>Honorarios Brutos</t>
  </si>
  <si>
    <t>Retención de Terceros</t>
  </si>
  <si>
    <t>Retención Constribuyente</t>
  </si>
  <si>
    <t>Total Liquido</t>
  </si>
  <si>
    <t>Vigentes</t>
  </si>
  <si>
    <t>Anuladas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</si>
  <si>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</si>
  <si>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</si>
  <si>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</si>
  <si>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</si>
  <si>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</si>
  <si>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</si>
  <si>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</si>
  <si>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</si>
  <si>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</si>
  <si>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</si>
  <si>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</si>
  <si>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</si>
  <si>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Totales:</t>
  </si>
  <si>
    <t>PROPORCIONALIDAD</t>
  </si>
  <si>
    <t>Periodo</t>
  </si>
  <si>
    <t>Afecto</t>
  </si>
  <si>
    <t xml:space="preserve">Exento </t>
  </si>
  <si>
    <t>Total Ventas Afectas</t>
  </si>
  <si>
    <t>Total Ventas Exentas</t>
  </si>
  <si>
    <t>Centraliza F-29</t>
  </si>
  <si>
    <t>Cta</t>
  </si>
  <si>
    <t>Cuenta Contable</t>
  </si>
  <si>
    <t>Debe</t>
  </si>
  <si>
    <t>Haber</t>
  </si>
  <si>
    <t>IVA CRÉDITO FISCAL</t>
  </si>
  <si>
    <t>PAGOS PROVISIONALES MENSUALES</t>
  </si>
  <si>
    <t>REMANENTE CREDITO FISCAL</t>
  </si>
  <si>
    <t>Remanente Anterior</t>
  </si>
  <si>
    <t>REAJUSTE REMANENTE</t>
  </si>
  <si>
    <t>Reajuste</t>
  </si>
  <si>
    <t>Remanente Mes Siguiente</t>
  </si>
  <si>
    <t>IMPUESTOS POR PAGAR</t>
  </si>
  <si>
    <t>Impuesto a Pago</t>
  </si>
  <si>
    <t>RETENCIÓN DE 2ª CATEGORÍA</t>
  </si>
  <si>
    <t>Retenciones 2 da Cat.</t>
  </si>
  <si>
    <t>IVA DÉBITO FISCAL</t>
  </si>
  <si>
    <t>IVA Total Ventas</t>
  </si>
  <si>
    <t>Nro</t>
  </si>
  <si>
    <t>Tipo Doc</t>
  </si>
  <si>
    <t>Tipo Venta</t>
  </si>
  <si>
    <t>Rut cliente</t>
  </si>
  <si>
    <t>Razon Social</t>
  </si>
  <si>
    <t>Folio</t>
  </si>
  <si>
    <t>Fecha Docto</t>
  </si>
  <si>
    <t>Fecha Recepcion</t>
  </si>
  <si>
    <t>Fecha Acuse Recibo</t>
  </si>
  <si>
    <t>Fecha Reclamo</t>
  </si>
  <si>
    <t>Monto total</t>
  </si>
  <si>
    <t>IVA Retenido Total</t>
  </si>
  <si>
    <t>IVA Retenido Parcial</t>
  </si>
  <si>
    <t>IVA no retenido</t>
  </si>
  <si>
    <t>IVA propio</t>
  </si>
  <si>
    <t>IVA Terceros</t>
  </si>
  <si>
    <t>RUT Emisor Liquid. Factura</t>
  </si>
  <si>
    <t>Neto Comision Liquid. Factura</t>
  </si>
  <si>
    <t>Exento Comision Liquid. Factura</t>
  </si>
  <si>
    <t>IVA Comision Liquid. Factura</t>
  </si>
  <si>
    <t>IVA fuera de plazo</t>
  </si>
  <si>
    <t>Tipo Docto. Referencia</t>
  </si>
  <si>
    <t>Folio Docto. Referencia</t>
  </si>
  <si>
    <t>Num. Ident. Receptor Extranjero</t>
  </si>
  <si>
    <t>Nacionalidad Receptor Extranjero</t>
  </si>
  <si>
    <t>Credito empresa constructora</t>
  </si>
  <si>
    <t>Impto. Zona Franca (Ley 18211)</t>
  </si>
  <si>
    <t>Garantia Dep. Envases</t>
  </si>
  <si>
    <t>Indicador Venta sin Costo</t>
  </si>
  <si>
    <t>Indicador Servicio Periodico</t>
  </si>
  <si>
    <t>Monto No facturable</t>
  </si>
  <si>
    <t>Total Monto Periodo</t>
  </si>
  <si>
    <t>Venta Pasajes Transporte Nacional</t>
  </si>
  <si>
    <t>Venta Pasajes Transporte Internacional</t>
  </si>
  <si>
    <t>Numero Interno</t>
  </si>
  <si>
    <t>Codigo Sucursal</t>
  </si>
  <si>
    <t>NCE o NDE sobre Fact. de Compra</t>
  </si>
  <si>
    <t>Codigo Otro Imp.</t>
  </si>
  <si>
    <t>Valor Otro Imp.</t>
  </si>
  <si>
    <t>Tasa Otro Imp.</t>
  </si>
  <si>
    <t>folio</t>
  </si>
  <si>
    <t>neto</t>
  </si>
  <si>
    <t>iva</t>
  </si>
  <si>
    <t>total</t>
  </si>
  <si>
    <t>dte</t>
  </si>
  <si>
    <t>fecha</t>
  </si>
  <si>
    <t>vendedor</t>
  </si>
  <si>
    <t>sucursal</t>
  </si>
  <si>
    <t>Factura ElectrÃ³nica(33)</t>
  </si>
  <si>
    <t>Iva</t>
  </si>
  <si>
    <t>Neto</t>
  </si>
  <si>
    <t>Tipo Compra</t>
  </si>
  <si>
    <t>RUT Proveedor</t>
  </si>
  <si>
    <t>Fecha Acuse</t>
  </si>
  <si>
    <t>Monto IVA Recuperable</t>
  </si>
  <si>
    <t>Monto Iva No Recuperable</t>
  </si>
  <si>
    <t>Codigo IVA No Rec.</t>
  </si>
  <si>
    <t>Monto Neto Activo Fijo</t>
  </si>
  <si>
    <t>IVA Activo Fijo</t>
  </si>
  <si>
    <t>IVA uso Comun</t>
  </si>
  <si>
    <t>Impto. Sin Derecho a Credito</t>
  </si>
  <si>
    <t>IVA No Retenido</t>
  </si>
  <si>
    <t>Tabacos Puros</t>
  </si>
  <si>
    <t>Tabacos Cigarrillos</t>
  </si>
  <si>
    <t>Tabacos Elaborados</t>
  </si>
  <si>
    <t>Codigo Otro Impuesto</t>
  </si>
  <si>
    <t>Valor Otro Impuesto</t>
  </si>
  <si>
    <t>Tasa Otro Impuesto</t>
  </si>
  <si>
    <t>Boleta</t>
  </si>
  <si>
    <t>Emisor</t>
  </si>
  <si>
    <t>Honorarios</t>
  </si>
  <si>
    <t>Observar</t>
  </si>
  <si>
    <t>N°</t>
  </si>
  <si>
    <t>Fecha</t>
  </si>
  <si>
    <t>Estado</t>
  </si>
  <si>
    <t>Fecha Anulación</t>
  </si>
  <si>
    <t>Rut</t>
  </si>
  <si>
    <t>Nombre o Razón Social</t>
  </si>
  <si>
    <t>Soc. Prof.</t>
  </si>
  <si>
    <t>Brutos</t>
  </si>
  <si>
    <t>Retenido</t>
  </si>
  <si>
    <t>Pagado</t>
  </si>
  <si>
    <t>Monto</t>
  </si>
  <si>
    <t>Dif</t>
  </si>
  <si>
    <t>UTM (1)</t>
  </si>
  <si>
    <t>UTA (2)</t>
  </si>
  <si>
    <t>Mes Anterior</t>
  </si>
  <si>
    <t>UTM</t>
  </si>
  <si>
    <t>Remanente actualizado</t>
  </si>
  <si>
    <t>Ventas Netas</t>
  </si>
  <si>
    <t>Tasa PPM</t>
  </si>
  <si>
    <r>
      <t>(1) UTM</t>
    </r>
    <r>
      <rPr>
        <sz val="11"/>
        <color rgb="FF706F6F"/>
        <rFont val="Times New Roman"/>
        <family val="1"/>
      </rPr>
      <t> = Unidad Tributaria Mensual</t>
    </r>
  </si>
  <si>
    <r>
      <t>(2) UTA</t>
    </r>
    <r>
      <rPr>
        <sz val="11"/>
        <color rgb="FF706F6F"/>
        <rFont val="Times New Roman"/>
        <family val="1"/>
      </rPr>
      <t> = Unidad Tributaria Anual (UTM x 12)</t>
    </r>
  </si>
  <si>
    <r>
      <t>(3) Variación mensual :</t>
    </r>
    <r>
      <rPr>
        <sz val="11"/>
        <color rgb="FF706F6F"/>
        <rFont val="Times New Roman"/>
        <family val="1"/>
      </rPr>
      <t> Corresponde a la publicada oficialmente por el INE en cada mes.</t>
    </r>
  </si>
  <si>
    <r>
      <t>(4) Variación acumulada 2021 :</t>
    </r>
    <r>
      <rPr>
        <sz val="11"/>
        <color rgb="FF706F6F"/>
        <rFont val="Times New Roman"/>
        <family val="1"/>
      </rPr>
      <t> Corresponde a la acumulada a la fecha respecto del mes de Diciembre del año anterior.</t>
    </r>
  </si>
  <si>
    <r>
      <t>(5) Variación Ultimos 12 meses :</t>
    </r>
    <r>
      <rPr>
        <sz val="11"/>
        <color rgb="FF706F6F"/>
        <rFont val="Times New Roman"/>
        <family val="1"/>
      </rPr>
      <t> Corresponde a la variación de los últimos doce meses.</t>
    </r>
  </si>
  <si>
    <t>(6) IPC Valor en Puntos : A partir del mes de enero 2019, el INE ha procedido a recalcular los IPC, considerando como base anual 2018=100. La serie empalmada de IPC desde diciembre 2009 hasta diciembre 2018, puede ser consultada en www.ine.cl.</t>
  </si>
  <si>
    <t>Calculo de Multas, Intereses y Reajustes Declaración Iva Rectificatoria Atrasada Con Pago</t>
  </si>
  <si>
    <t>Períodos Tributarios sometidos a revisión</t>
  </si>
  <si>
    <t>Diferencia de impuesto adeudada a pagar</t>
  </si>
  <si>
    <t>Fecha del Giro</t>
  </si>
  <si>
    <t>Reajuste Art. 53 Inciso 1</t>
  </si>
  <si>
    <t>Sin Pago, Modifica Información o Devolusión</t>
  </si>
  <si>
    <t>Periodos Atrasados</t>
  </si>
  <si>
    <t>Interes Mensual</t>
  </si>
  <si>
    <t>Tasa Multa</t>
  </si>
  <si>
    <t>Multa por Retardo u Omisión</t>
  </si>
  <si>
    <t>Valores</t>
  </si>
  <si>
    <t>Mes de Pago</t>
  </si>
  <si>
    <t>Período Tributario</t>
  </si>
  <si>
    <t>Diferencia de Impuesto Determinada</t>
  </si>
  <si>
    <t>Reajuste artículo 53 Inciso 1º</t>
  </si>
  <si>
    <t>Interés Artículo 53 Inciso 3º</t>
  </si>
  <si>
    <t>Multa Artículo 97 N° 11 Inciso 1</t>
  </si>
  <si>
    <t>Años</t>
  </si>
  <si>
    <t>Meses</t>
  </si>
  <si>
    <t>Art. 53 Inciso 3</t>
  </si>
  <si>
    <t>Art. 97 N°11 Inciso 1</t>
  </si>
  <si>
    <t>Total Multa</t>
  </si>
  <si>
    <t>Tasa Maxima</t>
  </si>
  <si>
    <t>Art. 97 N°1</t>
  </si>
  <si>
    <t>UTA</t>
  </si>
  <si>
    <t>Mes a Declarar</t>
  </si>
  <si>
    <t>Atraso</t>
  </si>
  <si>
    <t>Total UTM</t>
  </si>
  <si>
    <t>Total UTA</t>
  </si>
  <si>
    <t>1 UTM a 1 UTA</t>
  </si>
  <si>
    <t>%</t>
  </si>
  <si>
    <t>Condonación</t>
  </si>
  <si>
    <t>Rebaja</t>
  </si>
  <si>
    <t>Totals</t>
  </si>
  <si>
    <t>Impuesto Retenido</t>
  </si>
  <si>
    <t>Total mes Comprobantes Pago ElectrÃ³nico(48)</t>
  </si>
  <si>
    <t>Certificado</t>
  </si>
  <si>
    <t>BIN</t>
  </si>
  <si>
    <t>Boleta Afecta</t>
  </si>
  <si>
    <t>Boleta Exenta</t>
  </si>
  <si>
    <t>TIPO PAGO</t>
  </si>
  <si>
    <t>77640938-3</t>
  </si>
  <si>
    <t>PROCOLOR SPA</t>
  </si>
  <si>
    <t>Get</t>
  </si>
  <si>
    <t>COD.AUT</t>
  </si>
  <si>
    <t>LOCAL</t>
  </si>
  <si>
    <t>NUM LOCAL</t>
  </si>
  <si>
    <t>TERMINAL</t>
  </si>
  <si>
    <t>BOLETA</t>
  </si>
  <si>
    <t>VENDEDOR</t>
  </si>
  <si>
    <t>MARCA</t>
  </si>
  <si>
    <t>FECHA VENTA</t>
  </si>
  <si>
    <t>TIPO</t>
  </si>
  <si>
    <t>TIPO MOV.</t>
  </si>
  <si>
    <t>CUOTAS</t>
  </si>
  <si>
    <t>MONEDA</t>
  </si>
  <si>
    <t>VUELTO</t>
  </si>
  <si>
    <t>PROPINA</t>
  </si>
  <si>
    <t>VALOR VENTA</t>
  </si>
  <si>
    <t>VALOR TRANSACCIÓN</t>
  </si>
  <si>
    <t>COMISIÓN</t>
  </si>
  <si>
    <t>MONTO ABONO</t>
  </si>
  <si>
    <t>FECHA ABONO</t>
  </si>
  <si>
    <t>ESTADO</t>
  </si>
  <si>
    <t>REFERENCIA</t>
  </si>
  <si>
    <t>COD. AUT. PADRE</t>
  </si>
  <si>
    <t>COMISIÓN PROPINA</t>
  </si>
  <si>
    <t>COMISIÓN VUELTO</t>
  </si>
  <si>
    <t>Doc.</t>
  </si>
  <si>
    <t>Cantidad</t>
  </si>
  <si>
    <t>78924030-2</t>
  </si>
  <si>
    <t>Implementos S.A.</t>
  </si>
  <si>
    <t>RCF-PPM</t>
  </si>
  <si>
    <t>F-29</t>
  </si>
  <si>
    <t>F-29 a Pago</t>
  </si>
  <si>
    <t>Retención sobre rentas del Art. 42 N° 1 LIR con tasa del 3% por reintegro del préstamo tasa 0%, según art. 9 letra a) Ley N° 21.252.</t>
  </si>
  <si>
    <t>Retención sobre rentas del Art. 42 N° 2 LIR con tasa del 3% por reintegro del préstamo tasa 0%, según art. 7 Ley N° 21.242 y art. 9 letra b) Ley N° 21.252.</t>
  </si>
  <si>
    <t>Fecha de Aceptacion</t>
  </si>
  <si>
    <t>N° DIN</t>
  </si>
  <si>
    <t>FOB</t>
  </si>
  <si>
    <t>FLETE</t>
  </si>
  <si>
    <t>SEGURO</t>
  </si>
  <si>
    <t>CIF</t>
  </si>
  <si>
    <t>cod 116</t>
  </si>
  <si>
    <t>cod. 113</t>
  </si>
  <si>
    <t>TOTAL</t>
  </si>
  <si>
    <t>IVA</t>
  </si>
  <si>
    <t>TOTAL USD</t>
  </si>
  <si>
    <t>T/C</t>
  </si>
  <si>
    <t>TOTAL A PAGAR</t>
  </si>
  <si>
    <t>Diferencia</t>
  </si>
  <si>
    <t>Comprobante Tesoreria</t>
  </si>
  <si>
    <t>Tipo de Comprobante</t>
  </si>
  <si>
    <t>Fecha de pago</t>
  </si>
  <si>
    <t>ok</t>
  </si>
  <si>
    <t>IVA CLP</t>
  </si>
  <si>
    <t>Ad Valorem Cod 223</t>
  </si>
  <si>
    <t>DIN Pagado</t>
  </si>
  <si>
    <t>Retención de Impuesto con tasa del 13,75% sobre las rentas del Art. 42 Nº2, según Art. 74 Nº2 LIR</t>
  </si>
  <si>
    <t>Control DIN</t>
  </si>
  <si>
    <t>Declaración de Ingreso (DIN)</t>
  </si>
  <si>
    <t>IVA Utilización Común</t>
  </si>
  <si>
    <t>Ventas afectas</t>
  </si>
  <si>
    <t>Ventas exentas</t>
  </si>
  <si>
    <t>Iva No Recuperable</t>
  </si>
  <si>
    <t>Iva de Uso Común</t>
  </si>
  <si>
    <t>Claificación</t>
  </si>
  <si>
    <t>Monto Iva</t>
  </si>
  <si>
    <t>Ventas</t>
  </si>
  <si>
    <t>Individualizar</t>
  </si>
  <si>
    <t xml:space="preserve">Nombre </t>
  </si>
  <si>
    <t>Pequeños Contribuyentes de Tributación Simplificada de IVA</t>
  </si>
  <si>
    <t>Apellido</t>
  </si>
  <si>
    <t>Dirección</t>
  </si>
  <si>
    <t>Información del Giro</t>
  </si>
  <si>
    <t>Categoria</t>
  </si>
  <si>
    <t>A Debito</t>
  </si>
  <si>
    <t>B Debito</t>
  </si>
  <si>
    <t>C Debito</t>
  </si>
  <si>
    <t>D Debito</t>
  </si>
  <si>
    <t>E Debito</t>
  </si>
  <si>
    <t>Promedio</t>
  </si>
  <si>
    <t>Tramo UTM</t>
  </si>
  <si>
    <t>Cuota UTM</t>
  </si>
  <si>
    <t>Requisito</t>
  </si>
  <si>
    <t>Promedio no mayor a 20 UTM</t>
  </si>
  <si>
    <t>Total Ingresos</t>
  </si>
  <si>
    <t>Anuales</t>
  </si>
  <si>
    <t>UTM Promedio</t>
  </si>
  <si>
    <t>Para Acogerme a este Regimen Simplificado:</t>
  </si>
  <si>
    <t>Primero Cumplir Requisitos</t>
  </si>
  <si>
    <t>Ventas y Servicios a consumidores finales</t>
  </si>
  <si>
    <t xml:space="preserve">Debo presentar Declaración Jurada F2716 para acogerme </t>
  </si>
  <si>
    <t>Segundo Cumplir Requisitos</t>
  </si>
  <si>
    <t>Despues de presentar la declaración jurada a los 15 corridos debere ir al SII.</t>
  </si>
  <si>
    <t>a retirar el cartel F2772</t>
  </si>
  <si>
    <t>*No olvidar el control de ventas diarias y compras diarias</t>
  </si>
  <si>
    <t>*No esta obligado a operar con el RCV - Circular 50 de 2020</t>
  </si>
  <si>
    <t>*Ser Persona Natural</t>
  </si>
  <si>
    <t xml:space="preserve">*Que mis Ingresos Promedios de los últimos 12 meses no excedan de 20 UTM </t>
  </si>
  <si>
    <t>*Solicitar autorización al SII.</t>
  </si>
  <si>
    <t>Ejemplo 1</t>
  </si>
  <si>
    <t>Cuota</t>
  </si>
  <si>
    <t>Compras</t>
  </si>
  <si>
    <t>Debito Asignado</t>
  </si>
  <si>
    <t>UTM Según Escala</t>
  </si>
  <si>
    <t>Cuota Debito</t>
  </si>
  <si>
    <t>Crédito</t>
  </si>
  <si>
    <t>IVA Determinado</t>
  </si>
  <si>
    <t>Ejemplo 2</t>
  </si>
  <si>
    <t>Caso Supuesto</t>
  </si>
  <si>
    <t>En Enero Juanita le venta a Empresa Los Palotes SpA sus producto</t>
  </si>
  <si>
    <t>Por la cual genera una venta de $2.000.000-</t>
  </si>
  <si>
    <t>Venta</t>
  </si>
  <si>
    <t xml:space="preserve">*Debera declarar hasta el día 20 de Febrero </t>
  </si>
  <si>
    <t>*Este Impuesto se considera:</t>
  </si>
  <si>
    <t>Otro Debito Fiscal</t>
  </si>
  <si>
    <t>IVA Débito</t>
  </si>
  <si>
    <t>Promedio Sin Movimientos 1 o Más Meses</t>
  </si>
  <si>
    <t>Nuevo Promedio</t>
  </si>
  <si>
    <t>Nueva Base</t>
  </si>
  <si>
    <t>Ejemplo 3</t>
  </si>
  <si>
    <t>Cálculo de IVA en Arriendo con Muebles</t>
  </si>
  <si>
    <t>1)</t>
  </si>
  <si>
    <t xml:space="preserve">El Avalúo Fiscal de la Propiedad es de </t>
  </si>
  <si>
    <t>2)</t>
  </si>
  <si>
    <t xml:space="preserve">El Valor del arriendo diario es de </t>
  </si>
  <si>
    <t>El valor del arriendo incluye el IVA</t>
  </si>
  <si>
    <t>Menos:</t>
  </si>
  <si>
    <t>Valor Bruto (Incluye IVA)</t>
  </si>
  <si>
    <t>Datos para emisión de documento:</t>
  </si>
  <si>
    <t>Rebaja Base Imponible</t>
  </si>
  <si>
    <t>Base Imponible afecta a IVA</t>
  </si>
  <si>
    <t>11% del Avalúo Fiscal</t>
  </si>
  <si>
    <t>Avalúo * 11%/365 Días</t>
  </si>
  <si>
    <t>( $45.890 / 1,19)</t>
  </si>
  <si>
    <t xml:space="preserve">IVA a pagar </t>
  </si>
  <si>
    <t>( 38.563 x 19%)</t>
  </si>
  <si>
    <t>Arriendo Diario</t>
  </si>
  <si>
    <t>Arriendo Mensual</t>
  </si>
  <si>
    <t>Avalúo * 11%/12 Meses</t>
  </si>
  <si>
    <t>Cálculo de IVA en Arriendo con Opción de Compra</t>
  </si>
  <si>
    <t>Arriendo Con Opción de Compra</t>
  </si>
  <si>
    <t>Valor total del contrato</t>
  </si>
  <si>
    <t>Valor del terreno</t>
  </si>
  <si>
    <t>3)</t>
  </si>
  <si>
    <t>Porcentaje que representa valor del terreno</t>
  </si>
  <si>
    <t>4)</t>
  </si>
  <si>
    <t>Valor de la cuota</t>
  </si>
  <si>
    <t>5)</t>
  </si>
  <si>
    <t>Interes incluido en cada cuota</t>
  </si>
  <si>
    <t>Facturación:</t>
  </si>
  <si>
    <t xml:space="preserve">Base Imponible </t>
  </si>
  <si>
    <t>Más</t>
  </si>
  <si>
    <t>Cálculo de IVA en Venta de Inmuebles</t>
  </si>
  <si>
    <t>Venta de Inmuebles</t>
  </si>
  <si>
    <t xml:space="preserve">El Valor de venta es </t>
  </si>
  <si>
    <t>IVA a pagar (  19%)</t>
  </si>
  <si>
    <t xml:space="preserve">Requisitos </t>
  </si>
  <si>
    <t>*Debe ser Realizado pon un Vendedor Habitual</t>
  </si>
  <si>
    <t>*En la adquisión no haya soportado IVA</t>
  </si>
  <si>
    <t>"Operación No Gravada"</t>
  </si>
  <si>
    <t>Vendedor Habitual</t>
  </si>
  <si>
    <t>Venta Afecta a IVA</t>
  </si>
  <si>
    <t>Normas Transitorias Anteriores</t>
  </si>
  <si>
    <t>"Operación Exenta"</t>
  </si>
  <si>
    <t>"No se Soporto IVA"</t>
  </si>
  <si>
    <t>Antecedentes del Caso</t>
  </si>
  <si>
    <t>Valor de Adquisión del Inmueble Construido</t>
  </si>
  <si>
    <t>Variación IPC</t>
  </si>
  <si>
    <t>Variación IPC (Mes Anterior a la Adquisición</t>
  </si>
  <si>
    <t>Valor de Venta del Inmueble Construido</t>
  </si>
  <si>
    <t>Valor Comercial del Terreno a la Fecha de Venta</t>
  </si>
  <si>
    <t>"El Puede Tasar"</t>
  </si>
  <si>
    <t>Se pide determinar la Base Especial Bajo la Norma del Art. 16 Letra G de la LIVS.</t>
  </si>
  <si>
    <t>Valor de Venta</t>
  </si>
  <si>
    <t>Valor Comercial del Terreno</t>
  </si>
  <si>
    <t>Venta Excluyendo el Terreno</t>
  </si>
  <si>
    <t>Paso 1</t>
  </si>
  <si>
    <t>Paso 2</t>
  </si>
  <si>
    <t>Paso 3</t>
  </si>
  <si>
    <t>Valor Reajustado del Inmueble</t>
  </si>
  <si>
    <t>Paso 4</t>
  </si>
  <si>
    <t>Valor de Adquisición Excl. El Terreno</t>
  </si>
  <si>
    <t>Paso 5</t>
  </si>
  <si>
    <t>Base Imponible del IVA</t>
  </si>
  <si>
    <t>Total Venta</t>
  </si>
  <si>
    <t>Persona Juridica No Tuvo Derecho a Crédito Fiscal</t>
  </si>
  <si>
    <t>Remanente se Pierde</t>
  </si>
  <si>
    <t>Base Imponible del IVA (Neto)</t>
  </si>
  <si>
    <t>Venta de Inmueble</t>
  </si>
  <si>
    <t>Nota de Débito ElectrÃ³nica(56)</t>
  </si>
  <si>
    <t>CIRCULAR 35 DE 1977</t>
  </si>
  <si>
    <t>Nota: Restricciones del Crédito Fiscal</t>
  </si>
  <si>
    <t>Vehiculos Usados</t>
  </si>
  <si>
    <t>Petroleo</t>
  </si>
  <si>
    <t>Gas</t>
  </si>
  <si>
    <t>Luz</t>
  </si>
  <si>
    <t>S. Telefonicos</t>
  </si>
  <si>
    <t>Gasolina</t>
  </si>
  <si>
    <t>Lubricantes</t>
  </si>
  <si>
    <t>Cigarrillos</t>
  </si>
  <si>
    <t>Visa</t>
  </si>
  <si>
    <t>31/07/2024 21:44:54</t>
  </si>
  <si>
    <t>Venta Contado Débito/Prepago</t>
  </si>
  <si>
    <t xml:space="preserve">$         </t>
  </si>
  <si>
    <t>01/08/2024</t>
  </si>
  <si>
    <t>Abonado</t>
  </si>
  <si>
    <t>31/07/2024 21:44:22</t>
  </si>
  <si>
    <t>31/07/2024 21:43:23</t>
  </si>
  <si>
    <t>31/07/2024 20:42:19</t>
  </si>
  <si>
    <t>31/07/2024 19:40:57</t>
  </si>
  <si>
    <t>MasterCard</t>
  </si>
  <si>
    <t>31/07/2024 17:28:22</t>
  </si>
  <si>
    <t>31/07/2024 17:26:01</t>
  </si>
  <si>
    <t>31/07/2024 07:05:52</t>
  </si>
  <si>
    <t>30/07/2024 21:45:49</t>
  </si>
  <si>
    <t>31/07/2024</t>
  </si>
  <si>
    <t>30/07/2024 21:44:42</t>
  </si>
  <si>
    <t>30/07/2024 21:32:38</t>
  </si>
  <si>
    <t>30/07/2024 20:54:43</t>
  </si>
  <si>
    <t>30/07/2024 19:47:54</t>
  </si>
  <si>
    <t>30/07/2024 19:46:01</t>
  </si>
  <si>
    <t>30/07/2024 18:42:12</t>
  </si>
  <si>
    <t>30/07/2024 09:09:41</t>
  </si>
  <si>
    <t>30/07/2024 06:35:10</t>
  </si>
  <si>
    <t>29/07/2024 21:45:16</t>
  </si>
  <si>
    <t>30/07/2024</t>
  </si>
  <si>
    <t>29/07/2024 20:46:55</t>
  </si>
  <si>
    <t>29/07/2024 20:37:06</t>
  </si>
  <si>
    <t>29/07/2024 19:50:06</t>
  </si>
  <si>
    <t>29/07/2024 19:40:39</t>
  </si>
  <si>
    <t>29/07/2024 19:39:05</t>
  </si>
  <si>
    <t>29/07/2024 18:41:12</t>
  </si>
  <si>
    <t>29/07/2024 18:40:36</t>
  </si>
  <si>
    <t>29/07/2024 14:31:38</t>
  </si>
  <si>
    <t>27/07/2024 13:05:59</t>
  </si>
  <si>
    <t>29/07/2024</t>
  </si>
  <si>
    <t>27/07/2024 12:59:26</t>
  </si>
  <si>
    <t>27/07/2024 12:58:52</t>
  </si>
  <si>
    <t>26/07/2024 21:56:14</t>
  </si>
  <si>
    <t>26/07/2024 20:01:59</t>
  </si>
  <si>
    <t>26/07/2024 19:46:23</t>
  </si>
  <si>
    <t>26/07/2024 19:43:13</t>
  </si>
  <si>
    <t>26/07/2024 19:42:41</t>
  </si>
  <si>
    <t>26/07/2024 18:58:15</t>
  </si>
  <si>
    <t>26/07/2024 18:51:19</t>
  </si>
  <si>
    <t>Venta Contado Crédito</t>
  </si>
  <si>
    <t>25/07/2024 21:41:50</t>
  </si>
  <si>
    <t>26/07/2024</t>
  </si>
  <si>
    <t>25/07/2024 20:40:25</t>
  </si>
  <si>
    <t>25/07/2024 20:36:09</t>
  </si>
  <si>
    <t>25/07/2024 18:21:37</t>
  </si>
  <si>
    <t>25/07/2024 07:18:31</t>
  </si>
  <si>
    <t>24/07/2024 21:46:05</t>
  </si>
  <si>
    <t>25/07/2024</t>
  </si>
  <si>
    <t>24/07/2024 21:45:17</t>
  </si>
  <si>
    <t>24/07/2024 21:44:46</t>
  </si>
  <si>
    <t>24/07/2024 21:25:58</t>
  </si>
  <si>
    <t>24/07/2024 20:46:07</t>
  </si>
  <si>
    <t>24/07/2024 19:41:50</t>
  </si>
  <si>
    <t>24/07/2024 19:35:05</t>
  </si>
  <si>
    <t>24/07/2024 18:38:19</t>
  </si>
  <si>
    <t>24/07/2024 18:28:54</t>
  </si>
  <si>
    <t>24/07/2024 17:27:02</t>
  </si>
  <si>
    <t>24/07/2024 17:26:34</t>
  </si>
  <si>
    <t>24/07/2024 14:11:26</t>
  </si>
  <si>
    <t>24/07/2024 14:08:14</t>
  </si>
  <si>
    <t>23/07/2024 21:44:34</t>
  </si>
  <si>
    <t>24/07/2024</t>
  </si>
  <si>
    <t>23/07/2024 20:55:37</t>
  </si>
  <si>
    <t>23/07/2024 20:42:33</t>
  </si>
  <si>
    <t>23/07/2024 20:41:36</t>
  </si>
  <si>
    <t>23/07/2024 20:34:05</t>
  </si>
  <si>
    <t>23/07/2024 20:13:06</t>
  </si>
  <si>
    <t>23/07/2024 19:44:02</t>
  </si>
  <si>
    <t>23/07/2024 17:28:05</t>
  </si>
  <si>
    <t>23/07/2024 17:26:08</t>
  </si>
  <si>
    <t>22/07/2024 22:11:59</t>
  </si>
  <si>
    <t>23/07/2024</t>
  </si>
  <si>
    <t>22/07/2024 21:49:08</t>
  </si>
  <si>
    <t>22/07/2024 20:50:02</t>
  </si>
  <si>
    <t>22/07/2024 19:52:46</t>
  </si>
  <si>
    <t>22/07/2024 19:43:03</t>
  </si>
  <si>
    <t>22/07/2024 18:45:21</t>
  </si>
  <si>
    <t>22/07/2024 18:37:58</t>
  </si>
  <si>
    <t>22/07/2024 17:01:49</t>
  </si>
  <si>
    <t>20/07/2024 13:10:24</t>
  </si>
  <si>
    <t>22/07/2024</t>
  </si>
  <si>
    <t>20/07/2024 13:07:50</t>
  </si>
  <si>
    <t>20/07/2024 13:07:12</t>
  </si>
  <si>
    <t>20/07/2024 13:06:31</t>
  </si>
  <si>
    <t>20/07/2024 13:05:54</t>
  </si>
  <si>
    <t>20/07/2024 13:05:26</t>
  </si>
  <si>
    <t>20/07/2024 12:07:27</t>
  </si>
  <si>
    <t>20/07/2024 12:03:37</t>
  </si>
  <si>
    <t>19/07/2024 20:52:00</t>
  </si>
  <si>
    <t>19/07/2024 19:33:58</t>
  </si>
  <si>
    <t>19/07/2024 19:32:06</t>
  </si>
  <si>
    <t>19/07/2024 19:31:27</t>
  </si>
  <si>
    <t>19/07/2024 18:57:07</t>
  </si>
  <si>
    <t>19/07/2024 14:10:45</t>
  </si>
  <si>
    <t>18/07/2024 20:33:29</t>
  </si>
  <si>
    <t>19/07/2024</t>
  </si>
  <si>
    <t>18/07/2024 18:36:32</t>
  </si>
  <si>
    <t>18/07/2024 18:02:03</t>
  </si>
  <si>
    <t>18/07/2024 17:56:36</t>
  </si>
  <si>
    <t>17/07/2024 21:38:07</t>
  </si>
  <si>
    <t>18/07/2024</t>
  </si>
  <si>
    <t>17/07/2024 20:43:25</t>
  </si>
  <si>
    <t>17/07/2024 19:59:29</t>
  </si>
  <si>
    <t>17/07/2024 18:39:23</t>
  </si>
  <si>
    <t>17/07/2024 17:18:05</t>
  </si>
  <si>
    <t>17/07/2024 14:13:14</t>
  </si>
  <si>
    <t>17/07/2024 09:11:00</t>
  </si>
  <si>
    <t>16/07/2024 12:53:41</t>
  </si>
  <si>
    <t>17/07/2024</t>
  </si>
  <si>
    <t>16/07/2024 12:44:12</t>
  </si>
  <si>
    <t>16/07/2024 12:30:26</t>
  </si>
  <si>
    <t>16/07/2024 11:16:36</t>
  </si>
  <si>
    <t>16/07/2024 11:10:09</t>
  </si>
  <si>
    <t>15/07/2024 20:35:23</t>
  </si>
  <si>
    <t>15/07/2024 18:16:01</t>
  </si>
  <si>
    <t>13/07/2024 14:18:26</t>
  </si>
  <si>
    <t>15/07/2024</t>
  </si>
  <si>
    <t>13/07/2024 14:17:42</t>
  </si>
  <si>
    <t>13/07/2024 13:03:18</t>
  </si>
  <si>
    <t>13/07/2024 13:02:26</t>
  </si>
  <si>
    <t>13/07/2024 12:11:27</t>
  </si>
  <si>
    <t>13/07/2024 12:11:09</t>
  </si>
  <si>
    <t>13/07/2024 11:59:23</t>
  </si>
  <si>
    <t>12/07/2024 21:00:56</t>
  </si>
  <si>
    <t>12/07/2024 19:46:11</t>
  </si>
  <si>
    <t>12/07/2024 19:43:56</t>
  </si>
  <si>
    <t>12/07/2024 19:35:47</t>
  </si>
  <si>
    <t>12/07/2024 19:35:01</t>
  </si>
  <si>
    <t>11/07/2024 21:33:43</t>
  </si>
  <si>
    <t>12/07/2024</t>
  </si>
  <si>
    <t>11/07/2024 20:37:03</t>
  </si>
  <si>
    <t>11/07/2024 20:35:41</t>
  </si>
  <si>
    <t>11/07/2024 19:37:06</t>
  </si>
  <si>
    <t>11/07/2024 18:19:29</t>
  </si>
  <si>
    <t>11/07/2024 18:10:24</t>
  </si>
  <si>
    <t>11/07/2024 14:10:33</t>
  </si>
  <si>
    <t>10/07/2024 20:26:13</t>
  </si>
  <si>
    <t>11/07/2024</t>
  </si>
  <si>
    <t>10/07/2024 19:44:29</t>
  </si>
  <si>
    <t>10/07/2024 19:43:15</t>
  </si>
  <si>
    <t>10/07/2024 19:40:19</t>
  </si>
  <si>
    <t>10/07/2024 19:22:54</t>
  </si>
  <si>
    <t>10/07/2024 18:46:52</t>
  </si>
  <si>
    <t>10/07/2024 18:04:10</t>
  </si>
  <si>
    <t>10/07/2024 14:06:34</t>
  </si>
  <si>
    <t>10/07/2024 13:35:22</t>
  </si>
  <si>
    <t>09/07/2024 20:38:41</t>
  </si>
  <si>
    <t>10/07/2024</t>
  </si>
  <si>
    <t>09/07/2024 19:45:08</t>
  </si>
  <si>
    <t>09/07/2024 07:21:08</t>
  </si>
  <si>
    <t>08/07/2024 21:45:01</t>
  </si>
  <si>
    <t>09/07/2024</t>
  </si>
  <si>
    <t>08/07/2024 20:45:54</t>
  </si>
  <si>
    <t>08/07/2024 20:44:19</t>
  </si>
  <si>
    <t>08/07/2024 19:47:12</t>
  </si>
  <si>
    <t>08/07/2024 19:38:58</t>
  </si>
  <si>
    <t>08/07/2024 18:54:47</t>
  </si>
  <si>
    <t>08/07/2024 18:38:54</t>
  </si>
  <si>
    <t>08/07/2024 18:24:41</t>
  </si>
  <si>
    <t>08/07/2024 14:08:46</t>
  </si>
  <si>
    <t>08/07/2024 14:08:15</t>
  </si>
  <si>
    <t>08/07/2024 14:07:53</t>
  </si>
  <si>
    <t>08/07/2024 14:07:26</t>
  </si>
  <si>
    <t>06/07/2024 13:40:14</t>
  </si>
  <si>
    <t>08/07/2024</t>
  </si>
  <si>
    <t>06/07/2024 13:03:58</t>
  </si>
  <si>
    <t>06/07/2024 13:03:37</t>
  </si>
  <si>
    <t>06/07/2024 11:11:28</t>
  </si>
  <si>
    <t>06/07/2024 11:10:25</t>
  </si>
  <si>
    <t>06/07/2024 11:06:24</t>
  </si>
  <si>
    <t>05/07/2024 20:18:34</t>
  </si>
  <si>
    <t>05/07/2024 18:41:15</t>
  </si>
  <si>
    <t>05/07/2024 18:37:42</t>
  </si>
  <si>
    <t>05/07/2024 14:15:40</t>
  </si>
  <si>
    <t>05/07/2024 09:09:40</t>
  </si>
  <si>
    <t>05/07/2024 07:10:43</t>
  </si>
  <si>
    <t>04/07/2024 21:40:07</t>
  </si>
  <si>
    <t>05/07/2024</t>
  </si>
  <si>
    <t>04/07/2024 19:37:55</t>
  </si>
  <si>
    <t>Amex</t>
  </si>
  <si>
    <t>04/07/2024 18:12:57</t>
  </si>
  <si>
    <t>04/07/2024 14:35:06</t>
  </si>
  <si>
    <t>03/07/2024 21:29:28</t>
  </si>
  <si>
    <t>04/07/2024</t>
  </si>
  <si>
    <t>03/07/2024 19:32:01</t>
  </si>
  <si>
    <t>03/07/2024 18:35:39</t>
  </si>
  <si>
    <t>02/07/2024 21:42:53</t>
  </si>
  <si>
    <t>Venta en Cuotas - Financiación Emisor</t>
  </si>
  <si>
    <t>03/07/2024</t>
  </si>
  <si>
    <t>02/07/2024 21:40:53</t>
  </si>
  <si>
    <t>02/07/2024 20:24:57</t>
  </si>
  <si>
    <t>02/07/2024 19:45:26</t>
  </si>
  <si>
    <t>02/07/2024 19:44:52</t>
  </si>
  <si>
    <t>02/07/2024 18:43:13</t>
  </si>
  <si>
    <t>02/07/2024 18:39:35</t>
  </si>
  <si>
    <t>02/07/2024 18:38:28</t>
  </si>
  <si>
    <t>02/07/2024 18:37:57</t>
  </si>
  <si>
    <t>02/07/2024 18:36:59</t>
  </si>
  <si>
    <t>02/07/2024 14:16:08</t>
  </si>
  <si>
    <t>01/07/2024 21:41:31</t>
  </si>
  <si>
    <t>02/07/2024</t>
  </si>
  <si>
    <t>01/07/2024 21:32:24</t>
  </si>
  <si>
    <t>01/07/2024 21:31:59</t>
  </si>
  <si>
    <t>01/07/2024 20:35:25</t>
  </si>
  <si>
    <t>01/07/2024 19:32:21</t>
  </si>
  <si>
    <t>01/07/2024 19:27:35</t>
  </si>
  <si>
    <t>01/07/2024 19:09:03</t>
  </si>
  <si>
    <t>01/07/2024 18:02:04</t>
  </si>
  <si>
    <t>01/07/2024 17:22:27</t>
  </si>
  <si>
    <t>01/07/2024 13:04:22</t>
  </si>
  <si>
    <t>01/07/2024 07:04:17</t>
  </si>
  <si>
    <t>2024-07-17T23:48:20.000Z</t>
  </si>
  <si>
    <t>2024-07-17T23:47:53.000Z</t>
  </si>
  <si>
    <t>2024-07-17T23:47:28.000Z</t>
  </si>
  <si>
    <t>2024-07-17T23:47:13.000Z</t>
  </si>
  <si>
    <t>2024-07-17T23:46:54.000Z</t>
  </si>
  <si>
    <t>2024-07-17T23:46:24.000Z</t>
  </si>
  <si>
    <t>2024-07-17T23:45:43.000Z</t>
  </si>
  <si>
    <t>2024-07-17T23:45:08.000Z</t>
  </si>
  <si>
    <t>2024-07-17T23:44:45.000Z</t>
  </si>
  <si>
    <t>2024-07-17T23:44:24.000Z</t>
  </si>
  <si>
    <t>2024-07-17T23:43:58.000Z</t>
  </si>
  <si>
    <t>2024-07-17T23:43:34.000Z</t>
  </si>
  <si>
    <t>2024-07-17T23:43:14.000Z</t>
  </si>
  <si>
    <t>2024-07-17T23:42:48.000Z</t>
  </si>
  <si>
    <t>2024-07-17T23:42:23.000Z</t>
  </si>
  <si>
    <t>2024-07-17T23:42:03.000Z</t>
  </si>
  <si>
    <t>2024-07-17T23:41:42.000Z</t>
  </si>
  <si>
    <t>2024-07-17T23:41:16.000Z</t>
  </si>
  <si>
    <t>2024-07-17T23:38:39.000Z</t>
  </si>
  <si>
    <t>2024-07-17T23:38:05.000Z</t>
  </si>
  <si>
    <t>2024-07-17T23:36:53.000Z</t>
  </si>
  <si>
    <t>2024-07-17T23:36:27.000Z</t>
  </si>
  <si>
    <t>2024-07-17T23:35:20.000Z</t>
  </si>
  <si>
    <t>2024-07-17T23:29:10.000Z</t>
  </si>
  <si>
    <t>2024-07-17T23:28:47.000Z</t>
  </si>
  <si>
    <t>2024-07-17T23:28:29.000Z</t>
  </si>
  <si>
    <t>2024-07-17T23:28:02.000Z</t>
  </si>
  <si>
    <t>2024-07-17T23:27:39.000Z</t>
  </si>
  <si>
    <t>2024-07-17T23:27:22.000Z</t>
  </si>
  <si>
    <t>2024-07-17T23:27:07.000Z</t>
  </si>
  <si>
    <t>2024-07-17T23:26:52.000Z</t>
  </si>
  <si>
    <t>2024-07-17T23:26:35.000Z</t>
  </si>
  <si>
    <t>2024-07-17T23:26:08.000Z</t>
  </si>
  <si>
    <t>2024-07-17T23:25:48.000Z</t>
  </si>
  <si>
    <t>2024-07-17T23:25:30.000Z</t>
  </si>
  <si>
    <t>2024-07-17T23:24:38.000Z</t>
  </si>
  <si>
    <t>2024-07-17T23:23:31.000Z</t>
  </si>
  <si>
    <t>2024-07-17T23:22:44.000Z</t>
  </si>
  <si>
    <t>2024-07-17T23:22:28.000Z</t>
  </si>
  <si>
    <t>2024-07-17T23:22:05.000Z</t>
  </si>
  <si>
    <t>2024-07-17T23:21:48.000Z</t>
  </si>
  <si>
    <t>2024-07-17T23:21:32.000Z</t>
  </si>
  <si>
    <t>2024-07-17T23:21:14.000Z</t>
  </si>
  <si>
    <t>2024-07-17T23:20:59.000Z</t>
  </si>
  <si>
    <t>2024-07-17T23:20:34.000Z</t>
  </si>
  <si>
    <t>2024-07-17T23:20:18.000Z</t>
  </si>
  <si>
    <t>2024-07-17T23:20:00.000Z</t>
  </si>
  <si>
    <t>2024-07-17T23:19:42.000Z</t>
  </si>
  <si>
    <t>2024-07-17T23:19:22.000Z</t>
  </si>
  <si>
    <t>2024-07-17T23:19:06.000Z</t>
  </si>
  <si>
    <t>2024-07-17T23:18:36.000Z</t>
  </si>
  <si>
    <t>2024-07-17T23:18:00.000Z</t>
  </si>
  <si>
    <t>2024-07-17T23:17:02.000Z</t>
  </si>
  <si>
    <t>2024-07-17T23:16:46.000Z</t>
  </si>
  <si>
    <t>2024-07-17T23:16:29.000Z</t>
  </si>
  <si>
    <t>2024-07-17T23:16:10.000Z</t>
  </si>
  <si>
    <t>2024-07-17T23:15:52.000Z</t>
  </si>
  <si>
    <t>2024-07-17T23:15:29.000Z</t>
  </si>
  <si>
    <t>2024-07-17T23:15:09.000Z</t>
  </si>
  <si>
    <t>2024-07-17T23:13:54.000Z</t>
  </si>
  <si>
    <t>2024-07-17T23:13:24.000Z</t>
  </si>
  <si>
    <t>2024-07-17T23:13:06.000Z</t>
  </si>
  <si>
    <t>2024-07-17T23:12:43.000Z</t>
  </si>
  <si>
    <t>2024-07-17T23:12:19.000Z</t>
  </si>
  <si>
    <t>2024-07-17T23:11:47.000Z</t>
  </si>
  <si>
    <t>2024-07-17T23:11:23.000Z</t>
  </si>
  <si>
    <t>2024-07-17T23:11:04.000Z</t>
  </si>
  <si>
    <t>2024-07-17T23:10:44.000Z</t>
  </si>
  <si>
    <t>2024-07-17T23:10:12.000Z</t>
  </si>
  <si>
    <t>2024-07-17T23:09:52.000Z</t>
  </si>
  <si>
    <t>2024-07-17T23:09:35.000Z</t>
  </si>
  <si>
    <t>2024-07-17T23:09:06.000Z</t>
  </si>
  <si>
    <t>2024-07-17T23:08:37.000Z</t>
  </si>
  <si>
    <t>2024-07-17T23:08:19.000Z</t>
  </si>
  <si>
    <t>2024-07-17T23:07:55.000Z</t>
  </si>
  <si>
    <t>2024-07-17T23:07:36.000Z</t>
  </si>
  <si>
    <t>2024-07-17T23:07:17.000Z</t>
  </si>
  <si>
    <t>2024-07-17T23:06:53.000Z</t>
  </si>
  <si>
    <t>2024-07-17T23:06:31.000Z</t>
  </si>
  <si>
    <t>2024-07-17T23:05:12.000Z</t>
  </si>
  <si>
    <t>2024-07-17T23:04:51.000Z</t>
  </si>
  <si>
    <t>2024-07-17T23:04:26.000Z</t>
  </si>
  <si>
    <t>2024-07-17T23:04:09.000Z</t>
  </si>
  <si>
    <t>2024-07-17T23:03:43.000Z</t>
  </si>
  <si>
    <t>2024-07-17T23:02:47.000Z</t>
  </si>
  <si>
    <t>2024-07-17T23:02:18.000Z</t>
  </si>
  <si>
    <t>2024-07-17T23:01:54.000Z</t>
  </si>
  <si>
    <t>2024-07-17T23:01:27.000Z</t>
  </si>
  <si>
    <t>2024-07-17T23:01:02.000Z</t>
  </si>
  <si>
    <t>2024-07-17T23:00:37.000Z</t>
  </si>
  <si>
    <t>2024-07-17T23:00:18.000Z</t>
  </si>
  <si>
    <t>2024-07-17T23:00:01.000Z</t>
  </si>
  <si>
    <t>2024-07-17T22:59:37.000Z</t>
  </si>
  <si>
    <t>2024-07-17T22:58:31.000Z</t>
  </si>
  <si>
    <t>55555555-5</t>
  </si>
  <si>
    <t>Servicio Nacional de Aduanas</t>
  </si>
  <si>
    <t>Monto IVA (Recuperable)</t>
  </si>
  <si>
    <t>VIGENTE</t>
  </si>
  <si>
    <t>NO</t>
  </si>
  <si>
    <t>Ptamo</t>
  </si>
  <si>
    <t>Activo Fijo DIN</t>
  </si>
  <si>
    <t>PRESTAMO SOLIDARIO</t>
  </si>
  <si>
    <t>Ptamo Solidario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</si>
  <si>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</si>
  <si>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</si>
  <si>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</si>
  <si>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</si>
  <si>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</si>
  <si>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</si>
  <si>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</si>
  <si>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</si>
  <si>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</si>
  <si>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</si>
  <si>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</si>
  <si>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</si>
  <si>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Factor a Diciembre</t>
  </si>
  <si>
    <t>Capital Inicial</t>
  </si>
  <si>
    <t>Factor CM</t>
  </si>
  <si>
    <t>Actualizado</t>
  </si>
  <si>
    <t xml:space="preserve">El Valor del arriendo mensual es de </t>
  </si>
  <si>
    <t>Valor de Adquisición del Inmueble</t>
  </si>
  <si>
    <t>El Avalúo Fiscal del terreno</t>
  </si>
  <si>
    <t>JOSE ALEJANDRO</t>
  </si>
  <si>
    <t>VALENTINA PAZ</t>
  </si>
  <si>
    <t>Proveedores SpA</t>
  </si>
  <si>
    <t>66666666-6</t>
  </si>
  <si>
    <t>Clientes SpA</t>
  </si>
  <si>
    <t>Aumento Retención</t>
  </si>
  <si>
    <t>Total Retención Boleta</t>
  </si>
  <si>
    <t>12.25%</t>
  </si>
  <si>
    <t>13.75%</t>
  </si>
  <si>
    <t>14.5%</t>
  </si>
  <si>
    <t>15.25%</t>
  </si>
  <si>
    <t>Multas</t>
  </si>
  <si>
    <t>Personal Natural no es Habitual</t>
  </si>
  <si>
    <t xml:space="preserve">Valor de Adquisión del Inmueble Construido </t>
  </si>
  <si>
    <t>Montos</t>
  </si>
  <si>
    <t xml:space="preserve">Total Venta </t>
  </si>
  <si>
    <t>Valor de Venta Afecta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</si>
</sst>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##&quot;.&quot;###&quot;.&quot;###&quot;-&quot;#"/>
    <numFmt numFmtId="166" formatCode="_-* #,##0_-;\-* #,##0_-;_-* &quot;-&quot;??_-;_-@_-"/>
    <numFmt numFmtId="167" formatCode="#,##0_ ;[Red]\-#,##0\ "/>
    <numFmt numFmtId="168" formatCode="0.000%"/>
    <numFmt numFmtId="169" formatCode="#,##0.00_ ;[Red]\-#,##0.00\ "/>
    <numFmt numFmtId="170" formatCode="&quot;$&quot;#,##0"/>
    <numFmt numFmtId="171" formatCode="0.0%"/>
    <numFmt numFmtId="172" formatCode="&quot;$&quot;\ #,##0"/>
    <numFmt numFmtId="173" formatCode="_-&quot;$&quot;\ * #,##0_-;\-&quot;$&quot;\ * #,##0_-;_-&quot;$&quot;\ * &quot;-&quot;??_-;_-@_-"/>
    <numFmt numFmtId="174" formatCode="_ * #,##0_ ;_ * \-#,##0_ ;_ * &quot;-&quot;??_ ;_ @_ "/>
    <numFmt numFmtId="175" formatCode="#####"/>
    <numFmt numFmtId="176" formatCode="_ * #,##0.00_ ;_ * \-#,##0.00_ ;_ * &quot;-&quot;_ ;_ @_ "/>
    <numFmt numFmtId="177" formatCode="_ * #,##0.0_ ;_ * \-#,##0.0_ ;_ * &quot;-&quot;_ ;_ @_ "/>
    <numFmt numFmtId="178" formatCode="#,##0.0_ ;[Red]\-#,##0.0\ "/>
    <numFmt numFmtId="179" formatCode="_ * #,##0.000_ ;_ * \-#,##0.000_ ;_ * &quot;-&quot;_ ;_ @_ "/>
    <numFmt numFmtId="180" formatCode="#,##0.000_ ;[Red]\-#,##0.000\ 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1"/>
      <color rgb="FF706F6F"/>
      <name val="Times New Roman"/>
      <family val="1"/>
    </font>
    <font>
      <b/>
      <sz val="11"/>
      <color theme="0"/>
      <name val="Times New Roman"/>
      <family val="1"/>
    </font>
    <font>
      <sz val="10"/>
      <name val="Arial"/>
      <family val="2"/>
      <charset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FFFFFF"/>
      <name val="Times New Roman"/>
      <family val="1"/>
    </font>
    <font>
      <sz val="10"/>
      <name val="Arial"/>
      <family val="2"/>
    </font>
    <font>
      <b/>
      <sz val="11"/>
      <color rgb="FFFF0000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4"/>
      <color theme="0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color rgb="FFFF0000"/>
      <name val="Times New Roman"/>
      <family val="1"/>
    </font>
    <font>
      <b/>
      <sz val="11"/>
      <color rgb="FF000000"/>
      <name val="Arial"/>
      <family val="2"/>
    </font>
    <font>
      <sz val="11"/>
      <color rgb="FF706F6F"/>
      <name val="Arial"/>
      <family val="2"/>
    </font>
    <font>
      <sz val="11"/>
      <color rgb="FFE6500A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D9EDF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0000"/>
      </patternFill>
    </fill>
    <fill>
      <patternFill patternType="solid">
        <fgColor rgb="FF99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92D05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CCCCCC"/>
      </right>
      <top style="medium">
        <color rgb="FFDDDDDD"/>
      </top>
      <bottom/>
      <diagonal/>
    </border>
    <border>
      <left style="medium">
        <color rgb="FFCCCCCC"/>
      </left>
      <right style="medium">
        <color rgb="FFCCCCCC"/>
      </right>
      <top style="medium">
        <color rgb="FFDDDDDD"/>
      </top>
      <bottom/>
      <diagonal/>
    </border>
    <border>
      <left style="medium">
        <color rgb="FFDDDDDD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DDDDDD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DDDDDD"/>
      </left>
      <right style="medium">
        <color rgb="FFCCCCCC"/>
      </right>
      <top style="medium">
        <color rgb="FFCCCCCC"/>
      </top>
      <bottom style="medium">
        <color rgb="FFCDCDC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CDCDCD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DDDDDD"/>
      </top>
      <bottom/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9" applyNumberFormat="0" applyFill="0" applyAlignment="0" applyProtection="0"/>
    <xf numFmtId="0" fontId="19" fillId="0" borderId="50" applyNumberFormat="0" applyFill="0" applyAlignment="0" applyProtection="0"/>
    <xf numFmtId="0" fontId="20" fillId="0" borderId="51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52" applyNumberFormat="0" applyAlignment="0" applyProtection="0"/>
    <xf numFmtId="0" fontId="25" fillId="15" borderId="53" applyNumberFormat="0" applyAlignment="0" applyProtection="0"/>
    <xf numFmtId="0" fontId="26" fillId="15" borderId="52" applyNumberFormat="0" applyAlignment="0" applyProtection="0"/>
    <xf numFmtId="0" fontId="27" fillId="0" borderId="54" applyNumberFormat="0" applyFill="0" applyAlignment="0" applyProtection="0"/>
    <xf numFmtId="0" fontId="28" fillId="16" borderId="55" applyNumberFormat="0" applyAlignment="0" applyProtection="0"/>
    <xf numFmtId="0" fontId="29" fillId="0" borderId="0" applyNumberFormat="0" applyFill="0" applyBorder="0" applyAlignment="0" applyProtection="0"/>
    <xf numFmtId="0" fontId="1" fillId="17" borderId="5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57" applyNumberFormat="0" applyFill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5" fillId="0" borderId="0"/>
  </cellStyleXfs>
  <cellXfs count="607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41" fontId="6" fillId="3" borderId="7" xfId="2" applyFont="1" applyFill="1" applyBorder="1" applyAlignment="1" applyProtection="1">
      <alignment horizontal="right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41" fontId="6" fillId="3" borderId="10" xfId="2" applyFont="1" applyFill="1" applyBorder="1" applyAlignment="1" applyProtection="1">
      <alignment horizontal="right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1" fontId="6" fillId="5" borderId="2" xfId="2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1" fontId="6" fillId="5" borderId="10" xfId="2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3" fontId="6" fillId="3" borderId="17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41" fontId="6" fillId="5" borderId="7" xfId="2" applyFont="1" applyFill="1" applyBorder="1" applyAlignment="1" applyProtection="1">
      <alignment horizontal="center" vertical="center" wrapText="1"/>
      <protection locked="0"/>
    </xf>
    <xf numFmtId="41" fontId="3" fillId="3" borderId="7" xfId="2" applyFont="1" applyFill="1" applyBorder="1" applyAlignment="1" applyProtection="1">
      <alignment horizontal="right" vertical="center" wrapText="1"/>
      <protection locked="0"/>
    </xf>
    <xf numFmtId="41" fontId="3" fillId="3" borderId="17" xfId="2" applyFont="1" applyFill="1" applyBorder="1" applyAlignment="1" applyProtection="1">
      <alignment horizontal="righ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166" fontId="3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6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Alignment="1" applyProtection="1">
      <alignment horizontal="right" vertical="center" wrapText="1"/>
      <protection locked="0"/>
    </xf>
    <xf numFmtId="166" fontId="6" fillId="3" borderId="17" xfId="1" applyNumberFormat="1" applyFont="1" applyFill="1" applyBorder="1" applyAlignment="1" applyProtection="1">
      <alignment horizontal="right" vertical="center" wrapText="1"/>
      <protection locked="0"/>
    </xf>
    <xf numFmtId="41" fontId="6" fillId="3" borderId="2" xfId="2" applyFont="1" applyFill="1" applyBorder="1" applyAlignment="1" applyProtection="1">
      <alignment horizontal="right" vertical="center" wrapText="1"/>
      <protection locked="0"/>
    </xf>
    <xf numFmtId="14" fontId="2" fillId="0" borderId="0" xfId="0" applyNumberFormat="1" applyFont="1"/>
    <xf numFmtId="22" fontId="2" fillId="0" borderId="0" xfId="0" applyNumberFormat="1" applyFont="1"/>
    <xf numFmtId="167" fontId="2" fillId="0" borderId="0" xfId="0" applyNumberFormat="1" applyFont="1"/>
    <xf numFmtId="0" fontId="10" fillId="0" borderId="19" xfId="3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14" fontId="5" fillId="0" borderId="19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6" fontId="6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41" fontId="3" fillId="3" borderId="10" xfId="2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10" fontId="6" fillId="0" borderId="0" xfId="0" applyNumberFormat="1" applyFont="1"/>
    <xf numFmtId="167" fontId="6" fillId="0" borderId="0" xfId="0" applyNumberFormat="1" applyFont="1"/>
    <xf numFmtId="168" fontId="3" fillId="0" borderId="0" xfId="5" applyNumberFormat="1" applyFont="1" applyBorder="1"/>
    <xf numFmtId="169" fontId="2" fillId="0" borderId="0" xfId="0" applyNumberFormat="1" applyFont="1"/>
    <xf numFmtId="0" fontId="8" fillId="0" borderId="0" xfId="0" applyFont="1"/>
    <xf numFmtId="0" fontId="2" fillId="0" borderId="35" xfId="0" applyFont="1" applyBorder="1"/>
    <xf numFmtId="0" fontId="9" fillId="0" borderId="35" xfId="3" applyBorder="1"/>
    <xf numFmtId="170" fontId="8" fillId="0" borderId="0" xfId="0" applyNumberFormat="1" applyFont="1"/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9" fontId="5" fillId="0" borderId="0" xfId="5" applyFont="1" applyBorder="1" applyAlignment="1">
      <alignment vertical="center" wrapText="1"/>
    </xf>
    <xf numFmtId="10" fontId="5" fillId="0" borderId="0" xfId="5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32" xfId="0" applyFont="1" applyBorder="1"/>
    <xf numFmtId="167" fontId="2" fillId="0" borderId="36" xfId="0" applyNumberFormat="1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wrapText="1"/>
    </xf>
    <xf numFmtId="167" fontId="12" fillId="9" borderId="0" xfId="0" applyNumberFormat="1" applyFont="1" applyFill="1" applyAlignment="1">
      <alignment wrapText="1"/>
    </xf>
    <xf numFmtId="167" fontId="8" fillId="0" borderId="0" xfId="0" applyNumberFormat="1" applyFont="1"/>
    <xf numFmtId="167" fontId="3" fillId="5" borderId="0" xfId="0" applyNumberFormat="1" applyFont="1" applyFill="1" applyAlignment="1" applyProtection="1">
      <alignment vertical="center" wrapText="1"/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167" fontId="8" fillId="0" borderId="0" xfId="0" applyNumberFormat="1" applyFont="1" applyAlignment="1">
      <alignment vertical="center"/>
    </xf>
    <xf numFmtId="167" fontId="2" fillId="0" borderId="36" xfId="0" applyNumberFormat="1" applyFont="1" applyBorder="1"/>
    <xf numFmtId="0" fontId="4" fillId="0" borderId="23" xfId="0" applyFont="1" applyBorder="1" applyAlignment="1">
      <alignment horizontal="center" vertical="center" wrapText="1"/>
    </xf>
    <xf numFmtId="0" fontId="12" fillId="9" borderId="0" xfId="0" applyFont="1" applyFill="1"/>
    <xf numFmtId="167" fontId="12" fillId="9" borderId="0" xfId="0" applyNumberFormat="1" applyFont="1" applyFill="1"/>
    <xf numFmtId="0" fontId="16" fillId="0" borderId="35" xfId="3" applyFont="1" applyBorder="1"/>
    <xf numFmtId="0" fontId="0" fillId="0" borderId="19" xfId="0" applyBorder="1" applyAlignment="1">
      <alignment wrapText="1"/>
    </xf>
    <xf numFmtId="9" fontId="2" fillId="0" borderId="0" xfId="5" applyFont="1"/>
    <xf numFmtId="171" fontId="2" fillId="0" borderId="0" xfId="5" applyNumberFormat="1" applyFont="1"/>
    <xf numFmtId="0" fontId="2" fillId="7" borderId="0" xfId="0" applyFont="1" applyFill="1"/>
    <xf numFmtId="171" fontId="2" fillId="0" borderId="0" xfId="0" applyNumberFormat="1" applyFont="1"/>
    <xf numFmtId="3" fontId="2" fillId="0" borderId="0" xfId="0" applyNumberFormat="1" applyFont="1"/>
    <xf numFmtId="0" fontId="12" fillId="9" borderId="42" xfId="0" applyFont="1" applyFill="1" applyBorder="1" applyAlignment="1">
      <alignment horizontal="center" vertical="center" wrapText="1"/>
    </xf>
    <xf numFmtId="0" fontId="12" fillId="9" borderId="44" xfId="0" applyFont="1" applyFill="1" applyBorder="1" applyAlignment="1">
      <alignment horizontal="center" vertical="center" wrapText="1"/>
    </xf>
    <xf numFmtId="9" fontId="2" fillId="0" borderId="0" xfId="0" applyNumberFormat="1" applyFont="1"/>
    <xf numFmtId="49" fontId="2" fillId="7" borderId="33" xfId="0" applyNumberFormat="1" applyFont="1" applyFill="1" applyBorder="1" applyAlignment="1">
      <alignment vertical="center" wrapText="1"/>
    </xf>
    <xf numFmtId="172" fontId="2" fillId="7" borderId="46" xfId="0" applyNumberFormat="1" applyFont="1" applyFill="1" applyBorder="1" applyAlignment="1">
      <alignment vertical="center" wrapText="1"/>
    </xf>
    <xf numFmtId="171" fontId="2" fillId="7" borderId="47" xfId="5" applyNumberFormat="1" applyFont="1" applyFill="1" applyBorder="1" applyAlignment="1">
      <alignment vertical="center" wrapText="1"/>
    </xf>
    <xf numFmtId="172" fontId="2" fillId="7" borderId="48" xfId="0" applyNumberFormat="1" applyFont="1" applyFill="1" applyBorder="1" applyAlignment="1">
      <alignment vertical="center" wrapText="1"/>
    </xf>
    <xf numFmtId="171" fontId="3" fillId="7" borderId="47" xfId="5" applyNumberFormat="1" applyFont="1" applyFill="1" applyBorder="1" applyAlignment="1">
      <alignment vertical="center" wrapText="1"/>
    </xf>
    <xf numFmtId="173" fontId="2" fillId="7" borderId="48" xfId="6" applyNumberFormat="1" applyFont="1" applyFill="1" applyBorder="1" applyAlignment="1">
      <alignment vertical="center" wrapText="1"/>
    </xf>
    <xf numFmtId="172" fontId="2" fillId="7" borderId="34" xfId="0" applyNumberFormat="1" applyFont="1" applyFill="1" applyBorder="1" applyAlignment="1">
      <alignment vertical="center" wrapText="1"/>
    </xf>
    <xf numFmtId="172" fontId="2" fillId="7" borderId="0" xfId="0" applyNumberFormat="1" applyFont="1" applyFill="1" applyAlignment="1">
      <alignment vertical="center" wrapText="1"/>
    </xf>
    <xf numFmtId="172" fontId="8" fillId="0" borderId="0" xfId="0" applyNumberFormat="1" applyFont="1"/>
    <xf numFmtId="174" fontId="2" fillId="0" borderId="35" xfId="1" applyNumberFormat="1" applyFont="1" applyBorder="1"/>
    <xf numFmtId="174" fontId="8" fillId="0" borderId="0" xfId="1" applyNumberFormat="1" applyFont="1"/>
    <xf numFmtId="167" fontId="8" fillId="0" borderId="64" xfId="0" applyNumberFormat="1" applyFont="1" applyBorder="1"/>
    <xf numFmtId="0" fontId="8" fillId="0" borderId="64" xfId="0" applyFont="1" applyBorder="1"/>
    <xf numFmtId="167" fontId="8" fillId="0" borderId="69" xfId="0" applyNumberFormat="1" applyFont="1" applyBorder="1"/>
    <xf numFmtId="0" fontId="8" fillId="0" borderId="69" xfId="0" applyFont="1" applyBorder="1"/>
    <xf numFmtId="167" fontId="2" fillId="0" borderId="0" xfId="0" applyNumberFormat="1" applyFont="1" applyAlignment="1">
      <alignment horizontal="left"/>
    </xf>
    <xf numFmtId="14" fontId="12" fillId="9" borderId="19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Border="1" applyAlignment="1">
      <alignment horizontal="center" vertical="center" wrapText="1"/>
    </xf>
    <xf numFmtId="0" fontId="12" fillId="9" borderId="59" xfId="0" applyFont="1" applyFill="1" applyBorder="1"/>
    <xf numFmtId="41" fontId="2" fillId="0" borderId="36" xfId="2" applyFont="1" applyBorder="1"/>
    <xf numFmtId="0" fontId="8" fillId="0" borderId="58" xfId="0" applyFont="1" applyBorder="1"/>
    <xf numFmtId="0" fontId="8" fillId="0" borderId="60" xfId="0" applyFont="1" applyBorder="1"/>
    <xf numFmtId="0" fontId="12" fillId="9" borderId="59" xfId="0" applyFont="1" applyFill="1" applyBorder="1" applyAlignment="1">
      <alignment horizontal="center" vertical="center" wrapText="1"/>
    </xf>
    <xf numFmtId="0" fontId="3" fillId="4" borderId="63" xfId="0" applyFont="1" applyFill="1" applyBorder="1" applyAlignment="1" applyProtection="1">
      <alignment horizontal="center" vertical="center" wrapText="1"/>
      <protection locked="0"/>
    </xf>
    <xf numFmtId="0" fontId="3" fillId="2" borderId="59" xfId="0" applyFont="1" applyFill="1" applyBorder="1" applyAlignment="1" applyProtection="1">
      <alignment horizontal="center" vertical="center" wrapText="1"/>
      <protection locked="0"/>
    </xf>
    <xf numFmtId="0" fontId="2" fillId="0" borderId="62" xfId="0" applyFont="1" applyBorder="1"/>
    <xf numFmtId="174" fontId="2" fillId="0" borderId="62" xfId="1" applyNumberFormat="1" applyFont="1" applyBorder="1"/>
    <xf numFmtId="0" fontId="2" fillId="0" borderId="69" xfId="0" applyFont="1" applyBorder="1"/>
    <xf numFmtId="41" fontId="8" fillId="0" borderId="71" xfId="0" applyNumberFormat="1" applyFont="1" applyBorder="1"/>
    <xf numFmtId="0" fontId="5" fillId="2" borderId="70" xfId="0" applyFont="1" applyFill="1" applyBorder="1" applyAlignment="1" applyProtection="1">
      <alignment horizontal="center" vertical="center" wrapText="1"/>
      <protection locked="0"/>
    </xf>
    <xf numFmtId="0" fontId="3" fillId="5" borderId="70" xfId="0" applyFont="1" applyFill="1" applyBorder="1" applyAlignment="1" applyProtection="1">
      <alignment horizontal="left" vertical="center" wrapText="1"/>
      <protection locked="0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6" fillId="5" borderId="70" xfId="0" applyFont="1" applyFill="1" applyBorder="1" applyAlignment="1" applyProtection="1">
      <alignment horizontal="center" vertical="center" wrapText="1"/>
      <protection locked="0"/>
    </xf>
    <xf numFmtId="41" fontId="6" fillId="5" borderId="70" xfId="2" applyFont="1" applyFill="1" applyBorder="1" applyAlignment="1" applyProtection="1">
      <alignment horizontal="center" vertical="center" wrapText="1"/>
      <protection locked="0"/>
    </xf>
    <xf numFmtId="0" fontId="3" fillId="5" borderId="70" xfId="0" applyFont="1" applyFill="1" applyBorder="1" applyAlignment="1" applyProtection="1">
      <alignment horizontal="center" vertical="center" wrapText="1"/>
      <protection locked="0"/>
    </xf>
    <xf numFmtId="166" fontId="3" fillId="5" borderId="70" xfId="1" applyNumberFormat="1" applyFont="1" applyFill="1" applyBorder="1" applyAlignment="1" applyProtection="1">
      <alignment horizontal="center" vertical="center" wrapText="1"/>
      <protection locked="0"/>
    </xf>
    <xf numFmtId="166" fontId="3" fillId="5" borderId="59" xfId="1" applyNumberFormat="1" applyFont="1" applyFill="1" applyBorder="1" applyAlignment="1" applyProtection="1">
      <alignment horizontal="center" vertical="center" wrapText="1"/>
      <protection locked="0"/>
    </xf>
    <xf numFmtId="167" fontId="2" fillId="0" borderId="60" xfId="0" applyNumberFormat="1" applyFont="1" applyBorder="1" applyAlignment="1">
      <alignment wrapText="1"/>
    </xf>
    <xf numFmtId="41" fontId="3" fillId="5" borderId="70" xfId="2" applyFont="1" applyFill="1" applyBorder="1" applyAlignment="1" applyProtection="1">
      <alignment horizontal="center" vertical="center" wrapText="1"/>
      <protection locked="0"/>
    </xf>
    <xf numFmtId="41" fontId="3" fillId="5" borderId="70" xfId="2" applyFont="1" applyFill="1" applyBorder="1" applyAlignment="1" applyProtection="1">
      <alignment horizontal="right" vertical="center" wrapText="1"/>
      <protection locked="0"/>
    </xf>
    <xf numFmtId="41" fontId="3" fillId="3" borderId="70" xfId="2" applyFont="1" applyFill="1" applyBorder="1" applyAlignment="1" applyProtection="1">
      <alignment horizontal="right" vertical="center" wrapText="1"/>
      <protection locked="0"/>
    </xf>
    <xf numFmtId="166" fontId="6" fillId="3" borderId="70" xfId="1" applyNumberFormat="1" applyFont="1" applyFill="1" applyBorder="1" applyAlignment="1" applyProtection="1">
      <alignment horizontal="right" vertical="center" wrapText="1"/>
      <protection locked="0"/>
    </xf>
    <xf numFmtId="0" fontId="6" fillId="6" borderId="70" xfId="0" applyFont="1" applyFill="1" applyBorder="1" applyAlignment="1" applyProtection="1">
      <alignment horizontal="center" vertical="center" wrapText="1"/>
      <protection locked="0"/>
    </xf>
    <xf numFmtId="41" fontId="6" fillId="3" borderId="70" xfId="2" applyFont="1" applyFill="1" applyBorder="1" applyAlignment="1" applyProtection="1">
      <alignment horizontal="right" vertical="center" wrapText="1"/>
      <protection locked="0"/>
    </xf>
    <xf numFmtId="0" fontId="3" fillId="5" borderId="70" xfId="0" applyFont="1" applyFill="1" applyBorder="1" applyAlignment="1" applyProtection="1">
      <alignment vertical="center" wrapText="1"/>
      <protection locked="0"/>
    </xf>
    <xf numFmtId="0" fontId="6" fillId="7" borderId="70" xfId="0" applyFont="1" applyFill="1" applyBorder="1" applyAlignment="1" applyProtection="1">
      <alignment horizontal="center" vertical="center"/>
      <protection locked="0"/>
    </xf>
    <xf numFmtId="0" fontId="3" fillId="4" borderId="70" xfId="0" applyFont="1" applyFill="1" applyBorder="1" applyAlignment="1" applyProtection="1">
      <alignment horizontal="center" vertical="center" wrapText="1"/>
      <protection locked="0"/>
    </xf>
    <xf numFmtId="41" fontId="3" fillId="5" borderId="70" xfId="2" applyFont="1" applyFill="1" applyBorder="1" applyAlignment="1" applyProtection="1">
      <alignment vertical="center" wrapText="1"/>
      <protection locked="0"/>
    </xf>
    <xf numFmtId="0" fontId="3" fillId="5" borderId="59" xfId="0" applyFont="1" applyFill="1" applyBorder="1" applyAlignment="1" applyProtection="1">
      <alignment horizontal="left" vertical="center" wrapText="1"/>
      <protection locked="0"/>
    </xf>
    <xf numFmtId="0" fontId="12" fillId="9" borderId="60" xfId="0" applyFont="1" applyFill="1" applyBorder="1"/>
    <xf numFmtId="0" fontId="12" fillId="9" borderId="60" xfId="0" applyFont="1" applyFill="1" applyBorder="1" applyAlignment="1">
      <alignment wrapText="1"/>
    </xf>
    <xf numFmtId="167" fontId="12" fillId="9" borderId="60" xfId="0" applyNumberFormat="1" applyFont="1" applyFill="1" applyBorder="1" applyAlignment="1">
      <alignment wrapText="1"/>
    </xf>
    <xf numFmtId="0" fontId="2" fillId="0" borderId="59" xfId="0" applyFont="1" applyBorder="1"/>
    <xf numFmtId="0" fontId="2" fillId="0" borderId="64" xfId="0" applyFont="1" applyBorder="1" applyAlignment="1">
      <alignment horizontal="left" vertical="center" wrapText="1"/>
    </xf>
    <xf numFmtId="167" fontId="2" fillId="0" borderId="67" xfId="0" applyNumberFormat="1" applyFont="1" applyBorder="1" applyAlignment="1">
      <alignment horizontal="right" vertical="center" wrapText="1"/>
    </xf>
    <xf numFmtId="167" fontId="2" fillId="0" borderId="68" xfId="0" applyNumberFormat="1" applyFont="1" applyBorder="1" applyAlignment="1">
      <alignment horizontal="right" vertical="center" wrapText="1"/>
    </xf>
    <xf numFmtId="0" fontId="8" fillId="0" borderId="70" xfId="0" applyFont="1" applyBorder="1" applyAlignment="1">
      <alignment horizontal="left" vertical="center" wrapText="1"/>
    </xf>
    <xf numFmtId="167" fontId="8" fillId="0" borderId="70" xfId="0" applyNumberFormat="1" applyFont="1" applyBorder="1" applyAlignment="1">
      <alignment horizontal="right" vertical="center" wrapText="1"/>
    </xf>
    <xf numFmtId="167" fontId="12" fillId="9" borderId="60" xfId="0" applyNumberFormat="1" applyFont="1" applyFill="1" applyBorder="1"/>
    <xf numFmtId="0" fontId="8" fillId="0" borderId="64" xfId="0" applyFont="1" applyBorder="1" applyAlignment="1">
      <alignment horizontal="left" vertical="center" wrapText="1"/>
    </xf>
    <xf numFmtId="0" fontId="2" fillId="0" borderId="66" xfId="0" applyFont="1" applyBorder="1"/>
    <xf numFmtId="0" fontId="2" fillId="0" borderId="64" xfId="0" applyFont="1" applyBorder="1"/>
    <xf numFmtId="167" fontId="2" fillId="0" borderId="64" xfId="0" applyNumberFormat="1" applyFont="1" applyBorder="1"/>
    <xf numFmtId="167" fontId="2" fillId="0" borderId="67" xfId="0" applyNumberFormat="1" applyFont="1" applyBorder="1"/>
    <xf numFmtId="0" fontId="2" fillId="0" borderId="61" xfId="0" applyFont="1" applyBorder="1"/>
    <xf numFmtId="167" fontId="2" fillId="0" borderId="69" xfId="0" applyNumberFormat="1" applyFont="1" applyBorder="1"/>
    <xf numFmtId="167" fontId="2" fillId="0" borderId="68" xfId="0" applyNumberFormat="1" applyFont="1" applyBorder="1"/>
    <xf numFmtId="167" fontId="8" fillId="0" borderId="60" xfId="0" applyNumberFormat="1" applyFont="1" applyBorder="1"/>
    <xf numFmtId="170" fontId="8" fillId="0" borderId="64" xfId="0" applyNumberFormat="1" applyFont="1" applyBorder="1"/>
    <xf numFmtId="0" fontId="8" fillId="0" borderId="72" xfId="0" applyFont="1" applyBorder="1"/>
    <xf numFmtId="3" fontId="8" fillId="0" borderId="72" xfId="0" applyNumberFormat="1" applyFont="1" applyBorder="1"/>
    <xf numFmtId="0" fontId="12" fillId="9" borderId="60" xfId="0" applyFont="1" applyFill="1" applyBorder="1" applyAlignment="1">
      <alignment horizontal="center"/>
    </xf>
    <xf numFmtId="167" fontId="12" fillId="9" borderId="60" xfId="0" applyNumberFormat="1" applyFont="1" applyFill="1" applyBorder="1" applyAlignment="1">
      <alignment horizontal="center"/>
    </xf>
    <xf numFmtId="0" fontId="12" fillId="9" borderId="60" xfId="0" applyFont="1" applyFill="1" applyBorder="1" applyAlignment="1">
      <alignment vertical="center" wrapText="1"/>
    </xf>
    <xf numFmtId="0" fontId="12" fillId="9" borderId="60" xfId="0" applyFont="1" applyFill="1" applyBorder="1" applyAlignment="1">
      <alignment horizontal="center" vertical="center" wrapText="1"/>
    </xf>
    <xf numFmtId="171" fontId="2" fillId="10" borderId="70" xfId="5" applyNumberFormat="1" applyFont="1" applyFill="1" applyBorder="1" applyAlignment="1">
      <alignment vertical="center" wrapText="1"/>
    </xf>
    <xf numFmtId="171" fontId="8" fillId="0" borderId="72" xfId="5" applyNumberFormat="1" applyFont="1" applyBorder="1"/>
    <xf numFmtId="172" fontId="8" fillId="0" borderId="72" xfId="0" applyNumberFormat="1" applyFont="1" applyBorder="1"/>
    <xf numFmtId="167" fontId="11" fillId="0" borderId="0" xfId="0" applyNumberFormat="1" applyFont="1" applyAlignment="1">
      <alignment vertical="top" wrapText="1"/>
    </xf>
    <xf numFmtId="167" fontId="3" fillId="0" borderId="36" xfId="0" applyNumberFormat="1" applyFont="1" applyBorder="1"/>
    <xf numFmtId="0" fontId="8" fillId="0" borderId="75" xfId="0" applyFont="1" applyBorder="1"/>
    <xf numFmtId="175" fontId="3" fillId="0" borderId="0" xfId="0" applyNumberFormat="1" applyFont="1" applyAlignment="1">
      <alignment horizontal="center"/>
    </xf>
    <xf numFmtId="175" fontId="2" fillId="0" borderId="0" xfId="0" applyNumberFormat="1" applyFont="1"/>
    <xf numFmtId="175" fontId="34" fillId="42" borderId="0" xfId="0" applyNumberFormat="1" applyFont="1" applyFill="1"/>
    <xf numFmtId="175" fontId="34" fillId="43" borderId="0" xfId="0" applyNumberFormat="1" applyFont="1" applyFill="1"/>
    <xf numFmtId="167" fontId="34" fillId="42" borderId="0" xfId="0" applyNumberFormat="1" applyFont="1" applyFill="1"/>
    <xf numFmtId="167" fontId="34" fillId="43" borderId="0" xfId="0" applyNumberFormat="1" applyFont="1" applyFill="1"/>
    <xf numFmtId="167" fontId="3" fillId="0" borderId="0" xfId="0" applyNumberFormat="1" applyFont="1" applyAlignment="1">
      <alignment horizontal="center"/>
    </xf>
    <xf numFmtId="170" fontId="2" fillId="0" borderId="0" xfId="0" applyNumberFormat="1" applyFont="1"/>
    <xf numFmtId="167" fontId="3" fillId="0" borderId="0" xfId="0" applyNumberFormat="1" applyFont="1"/>
    <xf numFmtId="0" fontId="6" fillId="0" borderId="79" xfId="0" applyFont="1" applyBorder="1"/>
    <xf numFmtId="167" fontId="3" fillId="0" borderId="81" xfId="0" applyNumberFormat="1" applyFont="1" applyBorder="1"/>
    <xf numFmtId="168" fontId="3" fillId="0" borderId="81" xfId="5" applyNumberFormat="1" applyFont="1" applyBorder="1"/>
    <xf numFmtId="167" fontId="3" fillId="0" borderId="82" xfId="0" applyNumberFormat="1" applyFont="1" applyBorder="1"/>
    <xf numFmtId="0" fontId="3" fillId="2" borderId="74" xfId="0" applyFont="1" applyFill="1" applyBorder="1" applyAlignment="1" applyProtection="1">
      <alignment horizontal="center" vertical="center" wrapText="1"/>
      <protection locked="0"/>
    </xf>
    <xf numFmtId="41" fontId="3" fillId="5" borderId="74" xfId="2" applyFont="1" applyFill="1" applyBorder="1" applyAlignment="1" applyProtection="1">
      <alignment horizontal="center" vertical="center" wrapText="1"/>
      <protection locked="0"/>
    </xf>
    <xf numFmtId="14" fontId="2" fillId="7" borderId="0" xfId="0" applyNumberFormat="1" applyFont="1" applyFill="1"/>
    <xf numFmtId="0" fontId="2" fillId="7" borderId="0" xfId="0" applyFont="1" applyFill="1" applyAlignment="1">
      <alignment vertical="center" wrapText="1"/>
    </xf>
    <xf numFmtId="176" fontId="2" fillId="7" borderId="0" xfId="2" applyNumberFormat="1" applyFont="1" applyFill="1" applyBorder="1"/>
    <xf numFmtId="41" fontId="2" fillId="7" borderId="0" xfId="2" applyFont="1" applyFill="1" applyBorder="1"/>
    <xf numFmtId="41" fontId="2" fillId="7" borderId="0" xfId="0" applyNumberFormat="1" applyFont="1" applyFill="1"/>
    <xf numFmtId="0" fontId="36" fillId="7" borderId="0" xfId="0" applyFont="1" applyFill="1"/>
    <xf numFmtId="14" fontId="2" fillId="7" borderId="36" xfId="0" applyNumberFormat="1" applyFont="1" applyFill="1" applyBorder="1"/>
    <xf numFmtId="14" fontId="2" fillId="7" borderId="81" xfId="0" applyNumberFormat="1" applyFont="1" applyFill="1" applyBorder="1" applyAlignment="1">
      <alignment horizontal="right"/>
    </xf>
    <xf numFmtId="0" fontId="2" fillId="7" borderId="81" xfId="0" applyFont="1" applyFill="1" applyBorder="1" applyAlignment="1">
      <alignment horizontal="left"/>
    </xf>
    <xf numFmtId="0" fontId="2" fillId="7" borderId="81" xfId="0" applyFont="1" applyFill="1" applyBorder="1"/>
    <xf numFmtId="176" fontId="2" fillId="7" borderId="81" xfId="2" applyNumberFormat="1" applyFont="1" applyFill="1" applyBorder="1"/>
    <xf numFmtId="41" fontId="2" fillId="7" borderId="81" xfId="2" applyFont="1" applyFill="1" applyBorder="1"/>
    <xf numFmtId="1" fontId="2" fillId="7" borderId="81" xfId="0" applyNumberFormat="1" applyFont="1" applyFill="1" applyBorder="1"/>
    <xf numFmtId="0" fontId="36" fillId="7" borderId="81" xfId="0" applyFont="1" applyFill="1" applyBorder="1"/>
    <xf numFmtId="14" fontId="2" fillId="7" borderId="82" xfId="0" applyNumberFormat="1" applyFont="1" applyFill="1" applyBorder="1"/>
    <xf numFmtId="14" fontId="8" fillId="7" borderId="0" xfId="0" applyNumberFormat="1" applyFont="1" applyFill="1"/>
    <xf numFmtId="41" fontId="8" fillId="7" borderId="0" xfId="2" applyFont="1" applyFill="1" applyBorder="1"/>
    <xf numFmtId="41" fontId="2" fillId="0" borderId="0" xfId="2" applyFont="1"/>
    <xf numFmtId="176" fontId="2" fillId="7" borderId="0" xfId="2" applyNumberFormat="1" applyFont="1" applyFill="1"/>
    <xf numFmtId="176" fontId="3" fillId="7" borderId="81" xfId="2" applyNumberFormat="1" applyFont="1" applyFill="1" applyBorder="1"/>
    <xf numFmtId="176" fontId="8" fillId="7" borderId="0" xfId="2" applyNumberFormat="1" applyFont="1" applyFill="1"/>
    <xf numFmtId="176" fontId="2" fillId="0" borderId="0" xfId="2" applyNumberFormat="1" applyFont="1"/>
    <xf numFmtId="14" fontId="2" fillId="0" borderId="0" xfId="2" applyNumberFormat="1" applyFont="1"/>
    <xf numFmtId="14" fontId="8" fillId="7" borderId="80" xfId="0" applyNumberFormat="1" applyFont="1" applyFill="1" applyBorder="1"/>
    <xf numFmtId="41" fontId="8" fillId="7" borderId="80" xfId="2" applyFont="1" applyFill="1" applyBorder="1"/>
    <xf numFmtId="0" fontId="12" fillId="9" borderId="66" xfId="0" applyFont="1" applyFill="1" applyBorder="1" applyAlignment="1">
      <alignment horizontal="center" wrapText="1"/>
    </xf>
    <xf numFmtId="0" fontId="6" fillId="0" borderId="32" xfId="0" applyFont="1" applyBorder="1" applyAlignment="1">
      <alignment horizontal="left" vertical="top" wrapText="1"/>
    </xf>
    <xf numFmtId="3" fontId="3" fillId="0" borderId="0" xfId="0" applyNumberFormat="1" applyFont="1" applyAlignment="1">
      <alignment vertical="top" wrapText="1"/>
    </xf>
    <xf numFmtId="3" fontId="3" fillId="0" borderId="36" xfId="0" applyNumberFormat="1" applyFont="1" applyBorder="1" applyAlignment="1">
      <alignment vertical="top" wrapText="1"/>
    </xf>
    <xf numFmtId="0" fontId="3" fillId="0" borderId="0" xfId="0" applyFont="1"/>
    <xf numFmtId="0" fontId="6" fillId="0" borderId="79" xfId="0" applyFont="1" applyBorder="1" applyAlignment="1">
      <alignment horizontal="left" vertical="top" wrapText="1"/>
    </xf>
    <xf numFmtId="3" fontId="3" fillId="0" borderId="81" xfId="0" applyNumberFormat="1" applyFont="1" applyBorder="1" applyAlignment="1">
      <alignment vertical="top" wrapText="1"/>
    </xf>
    <xf numFmtId="3" fontId="3" fillId="0" borderId="82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167" fontId="6" fillId="0" borderId="0" xfId="0" applyNumberFormat="1" applyFont="1" applyAlignment="1">
      <alignment vertical="top" wrapText="1"/>
    </xf>
    <xf numFmtId="169" fontId="6" fillId="0" borderId="0" xfId="0" applyNumberFormat="1" applyFont="1" applyAlignment="1">
      <alignment horizontal="center" vertical="top" wrapText="1"/>
    </xf>
    <xf numFmtId="167" fontId="3" fillId="0" borderId="0" xfId="0" applyNumberFormat="1" applyFont="1" applyAlignment="1">
      <alignment vertical="top" wrapText="1"/>
    </xf>
    <xf numFmtId="169" fontId="3" fillId="0" borderId="0" xfId="0" applyNumberFormat="1" applyFont="1" applyAlignment="1">
      <alignment horizontal="center" vertical="top" wrapText="1"/>
    </xf>
    <xf numFmtId="167" fontId="12" fillId="9" borderId="80" xfId="0" applyNumberFormat="1" applyFont="1" applyFill="1" applyBorder="1" applyAlignment="1">
      <alignment horizontal="center" wrapText="1"/>
    </xf>
    <xf numFmtId="169" fontId="12" fillId="9" borderId="80" xfId="0" applyNumberFormat="1" applyFont="1" applyFill="1" applyBorder="1" applyAlignment="1">
      <alignment horizontal="center" wrapText="1"/>
    </xf>
    <xf numFmtId="167" fontId="12" fillId="9" borderId="67" xfId="0" applyNumberFormat="1" applyFont="1" applyFill="1" applyBorder="1" applyAlignment="1">
      <alignment horizontal="center" wrapText="1"/>
    </xf>
    <xf numFmtId="3" fontId="3" fillId="0" borderId="32" xfId="0" applyNumberFormat="1" applyFont="1" applyBorder="1" applyAlignment="1">
      <alignment vertical="top" wrapText="1"/>
    </xf>
    <xf numFmtId="167" fontId="3" fillId="0" borderId="36" xfId="0" applyNumberFormat="1" applyFont="1" applyBorder="1" applyAlignment="1">
      <alignment vertical="top" wrapText="1"/>
    </xf>
    <xf numFmtId="3" fontId="3" fillId="0" borderId="79" xfId="0" applyNumberFormat="1" applyFont="1" applyBorder="1" applyAlignment="1">
      <alignment vertical="top" wrapText="1"/>
    </xf>
    <xf numFmtId="167" fontId="3" fillId="0" borderId="81" xfId="0" applyNumberFormat="1" applyFont="1" applyBorder="1" applyAlignment="1">
      <alignment vertical="top" wrapText="1"/>
    </xf>
    <xf numFmtId="169" fontId="3" fillId="0" borderId="81" xfId="0" applyNumberFormat="1" applyFont="1" applyBorder="1" applyAlignment="1">
      <alignment horizontal="center" vertical="top" wrapText="1"/>
    </xf>
    <xf numFmtId="167" fontId="3" fillId="0" borderId="82" xfId="0" applyNumberFormat="1" applyFont="1" applyBorder="1" applyAlignment="1">
      <alignment vertical="top" wrapText="1"/>
    </xf>
    <xf numFmtId="14" fontId="12" fillId="9" borderId="80" xfId="0" applyNumberFormat="1" applyFont="1" applyFill="1" applyBorder="1" applyAlignment="1">
      <alignment wrapText="1"/>
    </xf>
    <xf numFmtId="0" fontId="12" fillId="9" borderId="80" xfId="0" applyFont="1" applyFill="1" applyBorder="1" applyAlignment="1">
      <alignment horizontal="left" wrapText="1"/>
    </xf>
    <xf numFmtId="176" fontId="12" fillId="9" borderId="80" xfId="2" applyNumberFormat="1" applyFont="1" applyFill="1" applyBorder="1" applyAlignment="1">
      <alignment wrapText="1"/>
    </xf>
    <xf numFmtId="41" fontId="12" fillId="9" borderId="80" xfId="2" applyFont="1" applyFill="1" applyBorder="1" applyAlignment="1">
      <alignment wrapText="1"/>
    </xf>
    <xf numFmtId="0" fontId="12" fillId="9" borderId="80" xfId="0" applyFont="1" applyFill="1" applyBorder="1" applyAlignment="1">
      <alignment wrapText="1"/>
    </xf>
    <xf numFmtId="41" fontId="12" fillId="9" borderId="80" xfId="2" applyFont="1" applyFill="1" applyBorder="1" applyAlignment="1">
      <alignment horizontal="left" wrapText="1"/>
    </xf>
    <xf numFmtId="0" fontId="12" fillId="9" borderId="67" xfId="0" applyFont="1" applyFill="1" applyBorder="1" applyAlignment="1">
      <alignment wrapText="1"/>
    </xf>
    <xf numFmtId="0" fontId="3" fillId="10" borderId="4" xfId="0" applyFont="1" applyFill="1" applyBorder="1" applyAlignment="1" applyProtection="1">
      <alignment horizontal="center" vertical="center" wrapText="1"/>
      <protection locked="0"/>
    </xf>
    <xf numFmtId="0" fontId="3" fillId="10" borderId="70" xfId="0" applyFont="1" applyFill="1" applyBorder="1" applyAlignment="1" applyProtection="1">
      <alignment horizontal="center" vertical="center" wrapText="1"/>
      <protection locked="0"/>
    </xf>
    <xf numFmtId="41" fontId="3" fillId="10" borderId="70" xfId="2" applyFont="1" applyFill="1" applyBorder="1" applyAlignment="1" applyProtection="1">
      <alignment horizontal="center" vertical="center" wrapText="1"/>
      <protection locked="0"/>
    </xf>
    <xf numFmtId="41" fontId="2" fillId="0" borderId="0" xfId="2" applyFont="1" applyBorder="1"/>
    <xf numFmtId="41" fontId="12" fillId="9" borderId="83" xfId="2" applyFont="1" applyFill="1" applyBorder="1"/>
    <xf numFmtId="41" fontId="12" fillId="9" borderId="84" xfId="2" applyFont="1" applyFill="1" applyBorder="1"/>
    <xf numFmtId="41" fontId="12" fillId="9" borderId="85" xfId="2" applyFont="1" applyFill="1" applyBorder="1"/>
    <xf numFmtId="41" fontId="2" fillId="0" borderId="32" xfId="2" applyFont="1" applyBorder="1"/>
    <xf numFmtId="41" fontId="2" fillId="0" borderId="79" xfId="2" applyFont="1" applyBorder="1"/>
    <xf numFmtId="41" fontId="2" fillId="0" borderId="81" xfId="2" applyFont="1" applyBorder="1"/>
    <xf numFmtId="41" fontId="2" fillId="0" borderId="82" xfId="2" applyFont="1" applyBorder="1"/>
    <xf numFmtId="41" fontId="8" fillId="0" borderId="79" xfId="2" applyFont="1" applyFill="1" applyBorder="1"/>
    <xf numFmtId="41" fontId="8" fillId="0" borderId="81" xfId="2" applyFont="1" applyFill="1" applyBorder="1"/>
    <xf numFmtId="41" fontId="8" fillId="0" borderId="82" xfId="2" applyFont="1" applyFill="1" applyBorder="1"/>
    <xf numFmtId="41" fontId="2" fillId="0" borderId="83" xfId="2" applyFont="1" applyBorder="1"/>
    <xf numFmtId="41" fontId="2" fillId="0" borderId="84" xfId="2" applyFont="1" applyBorder="1"/>
    <xf numFmtId="41" fontId="2" fillId="0" borderId="85" xfId="2" applyFont="1" applyBorder="1"/>
    <xf numFmtId="176" fontId="2" fillId="0" borderId="84" xfId="2" applyNumberFormat="1" applyFont="1" applyBorder="1"/>
    <xf numFmtId="0" fontId="2" fillId="0" borderId="84" xfId="0" applyFont="1" applyBorder="1"/>
    <xf numFmtId="41" fontId="8" fillId="0" borderId="84" xfId="2" applyFont="1" applyFill="1" applyBorder="1"/>
    <xf numFmtId="41" fontId="2" fillId="0" borderId="0" xfId="0" applyNumberFormat="1" applyFont="1"/>
    <xf numFmtId="0" fontId="12" fillId="9" borderId="86" xfId="0" applyFont="1" applyFill="1" applyBorder="1"/>
    <xf numFmtId="0" fontId="39" fillId="0" borderId="0" xfId="0" applyFont="1"/>
    <xf numFmtId="176" fontId="39" fillId="0" borderId="0" xfId="2" applyNumberFormat="1" applyFont="1"/>
    <xf numFmtId="41" fontId="39" fillId="0" borderId="0" xfId="2" applyFont="1"/>
    <xf numFmtId="176" fontId="38" fillId="0" borderId="0" xfId="2" applyNumberFormat="1" applyFont="1"/>
    <xf numFmtId="41" fontId="39" fillId="0" borderId="84" xfId="2" applyFont="1" applyBorder="1"/>
    <xf numFmtId="0" fontId="38" fillId="0" borderId="0" xfId="0" applyFont="1"/>
    <xf numFmtId="0" fontId="38" fillId="0" borderId="81" xfId="0" applyFont="1" applyBorder="1"/>
    <xf numFmtId="9" fontId="39" fillId="0" borderId="0" xfId="0" applyNumberFormat="1" applyFont="1"/>
    <xf numFmtId="0" fontId="38" fillId="0" borderId="84" xfId="0" applyFont="1" applyBorder="1"/>
    <xf numFmtId="41" fontId="38" fillId="0" borderId="84" xfId="2" applyFont="1" applyBorder="1"/>
    <xf numFmtId="167" fontId="39" fillId="0" borderId="0" xfId="0" applyNumberFormat="1" applyFont="1"/>
    <xf numFmtId="41" fontId="3" fillId="0" borderId="70" xfId="2" applyFont="1" applyFill="1" applyBorder="1" applyAlignment="1" applyProtection="1">
      <alignment horizontal="center" vertical="center" wrapText="1"/>
      <protection locked="0"/>
    </xf>
    <xf numFmtId="41" fontId="6" fillId="10" borderId="70" xfId="2" applyFont="1" applyFill="1" applyBorder="1" applyAlignment="1" applyProtection="1">
      <alignment horizontal="center" vertical="center" wrapText="1"/>
      <protection locked="0"/>
    </xf>
    <xf numFmtId="0" fontId="3" fillId="10" borderId="5" xfId="0" applyFont="1" applyFill="1" applyBorder="1" applyAlignment="1" applyProtection="1">
      <alignment horizontal="center" vertical="center" wrapText="1"/>
      <protection locked="0"/>
    </xf>
    <xf numFmtId="0" fontId="3" fillId="10" borderId="7" xfId="0" applyFont="1" applyFill="1" applyBorder="1" applyAlignment="1" applyProtection="1">
      <alignment horizontal="center" vertical="center" wrapText="1"/>
      <protection locked="0"/>
    </xf>
    <xf numFmtId="41" fontId="6" fillId="10" borderId="7" xfId="2" applyFont="1" applyFill="1" applyBorder="1" applyAlignment="1" applyProtection="1">
      <alignment horizontal="center" vertical="center" wrapText="1"/>
      <protection locked="0"/>
    </xf>
    <xf numFmtId="0" fontId="3" fillId="10" borderId="8" xfId="0" applyFont="1" applyFill="1" applyBorder="1" applyAlignment="1" applyProtection="1">
      <alignment horizontal="center" vertical="center" wrapText="1"/>
      <protection locked="0"/>
    </xf>
    <xf numFmtId="166" fontId="3" fillId="10" borderId="70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6" xfId="0" applyFont="1" applyFill="1" applyBorder="1" applyAlignment="1" applyProtection="1">
      <alignment horizontal="center" vertical="center" wrapText="1"/>
      <protection locked="0"/>
    </xf>
    <xf numFmtId="0" fontId="3" fillId="10" borderId="17" xfId="0" applyFont="1" applyFill="1" applyBorder="1" applyAlignment="1" applyProtection="1">
      <alignment horizontal="center" vertical="center" wrapText="1"/>
      <protection locked="0"/>
    </xf>
    <xf numFmtId="3" fontId="6" fillId="10" borderId="17" xfId="0" applyNumberFormat="1" applyFont="1" applyFill="1" applyBorder="1" applyAlignment="1" applyProtection="1">
      <alignment horizontal="right" vertical="center" wrapText="1"/>
      <protection locked="0"/>
    </xf>
    <xf numFmtId="0" fontId="3" fillId="10" borderId="18" xfId="0" applyFont="1" applyFill="1" applyBorder="1" applyAlignment="1" applyProtection="1">
      <alignment horizontal="center" vertical="center" wrapText="1"/>
      <protection locked="0"/>
    </xf>
    <xf numFmtId="0" fontId="40" fillId="9" borderId="84" xfId="0" applyFont="1" applyFill="1" applyBorder="1"/>
    <xf numFmtId="0" fontId="41" fillId="9" borderId="84" xfId="0" applyFont="1" applyFill="1" applyBorder="1"/>
    <xf numFmtId="41" fontId="41" fillId="9" borderId="84" xfId="2" applyFont="1" applyFill="1" applyBorder="1"/>
    <xf numFmtId="0" fontId="39" fillId="7" borderId="0" xfId="0" applyFont="1" applyFill="1"/>
    <xf numFmtId="41" fontId="39" fillId="7" borderId="0" xfId="2" applyFont="1" applyFill="1" applyBorder="1"/>
    <xf numFmtId="0" fontId="39" fillId="7" borderId="89" xfId="0" applyFont="1" applyFill="1" applyBorder="1"/>
    <xf numFmtId="41" fontId="39" fillId="7" borderId="89" xfId="2" applyFont="1" applyFill="1" applyBorder="1"/>
    <xf numFmtId="41" fontId="39" fillId="7" borderId="0" xfId="2" applyFont="1" applyFill="1"/>
    <xf numFmtId="0" fontId="42" fillId="7" borderId="0" xfId="0" applyFont="1" applyFill="1"/>
    <xf numFmtId="41" fontId="39" fillId="7" borderId="0" xfId="0" applyNumberFormat="1" applyFont="1" applyFill="1"/>
    <xf numFmtId="9" fontId="39" fillId="0" borderId="0" xfId="5" applyFont="1"/>
    <xf numFmtId="0" fontId="38" fillId="7" borderId="0" xfId="0" applyFont="1" applyFill="1"/>
    <xf numFmtId="41" fontId="38" fillId="7" borderId="0" xfId="2" applyFont="1" applyFill="1"/>
    <xf numFmtId="0" fontId="43" fillId="7" borderId="0" xfId="0" applyFont="1" applyFill="1"/>
    <xf numFmtId="0" fontId="39" fillId="44" borderId="90" xfId="0" applyFont="1" applyFill="1" applyBorder="1"/>
    <xf numFmtId="0" fontId="38" fillId="44" borderId="90" xfId="0" applyFont="1" applyFill="1" applyBorder="1"/>
    <xf numFmtId="41" fontId="38" fillId="44" borderId="90" xfId="2" applyFont="1" applyFill="1" applyBorder="1"/>
    <xf numFmtId="168" fontId="39" fillId="7" borderId="0" xfId="5" applyNumberFormat="1" applyFont="1" applyFill="1" applyBorder="1"/>
    <xf numFmtId="168" fontId="39" fillId="7" borderId="0" xfId="0" applyNumberFormat="1" applyFont="1" applyFill="1"/>
    <xf numFmtId="0" fontId="38" fillId="7" borderId="90" xfId="0" applyFont="1" applyFill="1" applyBorder="1"/>
    <xf numFmtId="9" fontId="39" fillId="7" borderId="0" xfId="0" applyNumberFormat="1" applyFont="1" applyFill="1"/>
    <xf numFmtId="176" fontId="37" fillId="0" borderId="0" xfId="2" applyNumberFormat="1" applyFont="1"/>
    <xf numFmtId="41" fontId="37" fillId="0" borderId="0" xfId="2" applyFont="1"/>
    <xf numFmtId="0" fontId="37" fillId="0" borderId="0" xfId="0" applyFont="1"/>
    <xf numFmtId="10" fontId="39" fillId="10" borderId="0" xfId="5" applyNumberFormat="1" applyFont="1" applyFill="1"/>
    <xf numFmtId="9" fontId="39" fillId="0" borderId="0" xfId="2" applyNumberFormat="1" applyFont="1"/>
    <xf numFmtId="0" fontId="2" fillId="10" borderId="0" xfId="0" applyFont="1" applyFill="1"/>
    <xf numFmtId="41" fontId="2" fillId="10" borderId="32" xfId="2" applyFont="1" applyFill="1" applyBorder="1"/>
    <xf numFmtId="41" fontId="2" fillId="10" borderId="0" xfId="2" applyFont="1" applyFill="1" applyBorder="1"/>
    <xf numFmtId="41" fontId="2" fillId="10" borderId="36" xfId="2" applyFont="1" applyFill="1" applyBorder="1"/>
    <xf numFmtId="0" fontId="8" fillId="10" borderId="0" xfId="0" applyFont="1" applyFill="1"/>
    <xf numFmtId="0" fontId="8" fillId="0" borderId="0" xfId="0" applyFont="1" applyAlignment="1">
      <alignment wrapText="1"/>
    </xf>
    <xf numFmtId="0" fontId="4" fillId="8" borderId="29" xfId="0" applyFont="1" applyFill="1" applyBorder="1" applyAlignment="1">
      <alignment horizontal="left" vertical="top" wrapText="1"/>
    </xf>
    <xf numFmtId="3" fontId="11" fillId="5" borderId="25" xfId="0" applyNumberFormat="1" applyFont="1" applyFill="1" applyBorder="1" applyAlignment="1">
      <alignment vertical="top" wrapText="1"/>
    </xf>
    <xf numFmtId="177" fontId="2" fillId="0" borderId="36" xfId="2" applyNumberFormat="1" applyFont="1" applyBorder="1"/>
    <xf numFmtId="0" fontId="2" fillId="0" borderId="79" xfId="0" applyFont="1" applyBorder="1"/>
    <xf numFmtId="0" fontId="2" fillId="0" borderId="81" xfId="0" applyFont="1" applyBorder="1"/>
    <xf numFmtId="177" fontId="2" fillId="0" borderId="82" xfId="2" applyNumberFormat="1" applyFont="1" applyBorder="1"/>
    <xf numFmtId="41" fontId="2" fillId="0" borderId="83" xfId="0" applyNumberFormat="1" applyFont="1" applyBorder="1"/>
    <xf numFmtId="41" fontId="2" fillId="0" borderId="84" xfId="0" applyNumberFormat="1" applyFont="1" applyBorder="1"/>
    <xf numFmtId="41" fontId="2" fillId="0" borderId="85" xfId="0" applyNumberFormat="1" applyFont="1" applyBorder="1"/>
    <xf numFmtId="41" fontId="2" fillId="0" borderId="32" xfId="0" applyNumberFormat="1" applyFont="1" applyBorder="1"/>
    <xf numFmtId="41" fontId="2" fillId="0" borderId="36" xfId="0" applyNumberFormat="1" applyFont="1" applyBorder="1"/>
    <xf numFmtId="41" fontId="2" fillId="0" borderId="79" xfId="0" applyNumberFormat="1" applyFont="1" applyBorder="1"/>
    <xf numFmtId="41" fontId="2" fillId="0" borderId="81" xfId="0" applyNumberFormat="1" applyFont="1" applyBorder="1"/>
    <xf numFmtId="41" fontId="2" fillId="0" borderId="82" xfId="0" applyNumberFormat="1" applyFont="1" applyBorder="1"/>
    <xf numFmtId="0" fontId="4" fillId="8" borderId="30" xfId="0" applyFont="1" applyFill="1" applyBorder="1" applyAlignment="1">
      <alignment horizontal="left" vertical="top" wrapText="1"/>
    </xf>
    <xf numFmtId="3" fontId="11" fillId="5" borderId="31" xfId="0" applyNumberFormat="1" applyFont="1" applyFill="1" applyBorder="1" applyAlignment="1">
      <alignment vertical="top" wrapText="1"/>
    </xf>
    <xf numFmtId="176" fontId="8" fillId="0" borderId="0" xfId="2" applyNumberFormat="1" applyFont="1"/>
    <xf numFmtId="41" fontId="8" fillId="0" borderId="0" xfId="2" applyFont="1"/>
    <xf numFmtId="0" fontId="8" fillId="0" borderId="86" xfId="0" applyFont="1" applyBorder="1" applyAlignment="1">
      <alignment horizontal="left"/>
    </xf>
    <xf numFmtId="0" fontId="8" fillId="0" borderId="86" xfId="0" applyFont="1" applyBorder="1" applyAlignment="1">
      <alignment horizontal="center" wrapText="1"/>
    </xf>
    <xf numFmtId="0" fontId="8" fillId="0" borderId="81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84" xfId="0" applyFont="1" applyBorder="1"/>
    <xf numFmtId="41" fontId="8" fillId="0" borderId="84" xfId="2" applyFont="1" applyBorder="1"/>
    <xf numFmtId="0" fontId="8" fillId="0" borderId="87" xfId="0" applyFont="1" applyBorder="1"/>
    <xf numFmtId="167" fontId="8" fillId="0" borderId="88" xfId="0" applyNumberFormat="1" applyFont="1" applyBorder="1"/>
    <xf numFmtId="41" fontId="8" fillId="0" borderId="88" xfId="0" applyNumberFormat="1" applyFont="1" applyBorder="1"/>
    <xf numFmtId="176" fontId="8" fillId="10" borderId="0" xfId="2" applyNumberFormat="1" applyFont="1" applyFill="1"/>
    <xf numFmtId="167" fontId="8" fillId="0" borderId="84" xfId="0" applyNumberFormat="1" applyFont="1" applyBorder="1"/>
    <xf numFmtId="0" fontId="8" fillId="0" borderId="74" xfId="0" applyFont="1" applyBorder="1"/>
    <xf numFmtId="0" fontId="44" fillId="7" borderId="0" xfId="0" applyFont="1" applyFill="1"/>
    <xf numFmtId="41" fontId="8" fillId="0" borderId="80" xfId="2" applyFont="1" applyBorder="1"/>
    <xf numFmtId="166" fontId="6" fillId="0" borderId="0" xfId="0" applyNumberFormat="1" applyFont="1" applyAlignment="1" applyProtection="1">
      <alignment horizontal="right" vertical="center" wrapText="1"/>
      <protection locked="0"/>
    </xf>
    <xf numFmtId="178" fontId="36" fillId="0" borderId="0" xfId="0" applyNumberFormat="1" applyFont="1"/>
    <xf numFmtId="1" fontId="2" fillId="0" borderId="0" xfId="0" applyNumberFormat="1" applyFont="1"/>
    <xf numFmtId="0" fontId="3" fillId="10" borderId="6" xfId="0" applyFont="1" applyFill="1" applyBorder="1" applyAlignment="1" applyProtection="1">
      <alignment horizontal="center" vertical="center" wrapText="1"/>
      <protection locked="0"/>
    </xf>
    <xf numFmtId="41" fontId="2" fillId="10" borderId="0" xfId="0" applyNumberFormat="1" applyFont="1" applyFill="1"/>
    <xf numFmtId="167" fontId="2" fillId="10" borderId="0" xfId="0" applyNumberFormat="1" applyFont="1" applyFill="1"/>
    <xf numFmtId="178" fontId="36" fillId="0" borderId="64" xfId="0" applyNumberFormat="1" applyFont="1" applyBorder="1"/>
    <xf numFmtId="0" fontId="45" fillId="9" borderId="39" xfId="0" applyFont="1" applyFill="1" applyBorder="1"/>
    <xf numFmtId="0" fontId="46" fillId="9" borderId="91" xfId="0" applyFont="1" applyFill="1" applyBorder="1" applyAlignment="1">
      <alignment horizontal="left" wrapText="1"/>
    </xf>
    <xf numFmtId="0" fontId="46" fillId="9" borderId="92" xfId="0" applyFont="1" applyFill="1" applyBorder="1" applyAlignment="1">
      <alignment horizontal="left" wrapText="1"/>
    </xf>
    <xf numFmtId="0" fontId="46" fillId="9" borderId="93" xfId="0" applyFont="1" applyFill="1" applyBorder="1" applyAlignment="1">
      <alignment horizontal="left" wrapText="1"/>
    </xf>
    <xf numFmtId="179" fontId="46" fillId="9" borderId="39" xfId="2" applyNumberFormat="1" applyFont="1" applyFill="1" applyBorder="1" applyAlignment="1">
      <alignment horizontal="center" vertical="center" wrapText="1"/>
    </xf>
    <xf numFmtId="0" fontId="47" fillId="7" borderId="94" xfId="0" applyFont="1" applyFill="1" applyBorder="1" applyAlignment="1">
      <alignment horizontal="left" vertical="top" wrapText="1"/>
    </xf>
    <xf numFmtId="169" fontId="48" fillId="7" borderId="95" xfId="0" applyNumberFormat="1" applyFont="1" applyFill="1" applyBorder="1" applyAlignment="1">
      <alignment vertical="top" wrapText="1"/>
    </xf>
    <xf numFmtId="180" fontId="47" fillId="7" borderId="96" xfId="2" applyNumberFormat="1" applyFont="1" applyFill="1" applyBorder="1"/>
    <xf numFmtId="0" fontId="47" fillId="7" borderId="97" xfId="0" applyFont="1" applyFill="1" applyBorder="1" applyAlignment="1">
      <alignment horizontal="left" vertical="top" wrapText="1"/>
    </xf>
    <xf numFmtId="169" fontId="48" fillId="7" borderId="98" xfId="0" applyNumberFormat="1" applyFont="1" applyFill="1" applyBorder="1" applyAlignment="1">
      <alignment vertical="top" wrapText="1"/>
    </xf>
    <xf numFmtId="180" fontId="47" fillId="7" borderId="99" xfId="2" applyNumberFormat="1" applyFont="1" applyFill="1" applyBorder="1"/>
    <xf numFmtId="180" fontId="47" fillId="0" borderId="99" xfId="2" applyNumberFormat="1" applyFont="1" applyFill="1" applyBorder="1"/>
    <xf numFmtId="0" fontId="47" fillId="7" borderId="100" xfId="0" applyFont="1" applyFill="1" applyBorder="1" applyAlignment="1">
      <alignment horizontal="left" vertical="top" wrapText="1"/>
    </xf>
    <xf numFmtId="169" fontId="48" fillId="7" borderId="101" xfId="0" applyNumberFormat="1" applyFont="1" applyFill="1" applyBorder="1" applyAlignment="1">
      <alignment vertical="top" wrapText="1"/>
    </xf>
    <xf numFmtId="180" fontId="47" fillId="7" borderId="102" xfId="2" applyNumberFormat="1" applyFont="1" applyFill="1" applyBorder="1"/>
    <xf numFmtId="1" fontId="12" fillId="9" borderId="83" xfId="0" applyNumberFormat="1" applyFont="1" applyFill="1" applyBorder="1" applyAlignment="1">
      <alignment horizontal="center" vertical="center" wrapText="1"/>
    </xf>
    <xf numFmtId="167" fontId="12" fillId="9" borderId="84" xfId="0" applyNumberFormat="1" applyFont="1" applyFill="1" applyBorder="1" applyAlignment="1">
      <alignment horizontal="center" vertical="center" wrapText="1"/>
    </xf>
    <xf numFmtId="10" fontId="12" fillId="9" borderId="84" xfId="0" applyNumberFormat="1" applyFont="1" applyFill="1" applyBorder="1" applyAlignment="1">
      <alignment horizontal="center" vertical="center" wrapText="1"/>
    </xf>
    <xf numFmtId="167" fontId="12" fillId="9" borderId="85" xfId="0" applyNumberFormat="1" applyFont="1" applyFill="1" applyBorder="1" applyAlignment="1">
      <alignment horizontal="center" vertical="center" wrapText="1"/>
    </xf>
    <xf numFmtId="0" fontId="6" fillId="0" borderId="103" xfId="0" applyFont="1" applyBorder="1"/>
    <xf numFmtId="179" fontId="3" fillId="0" borderId="0" xfId="2" applyNumberFormat="1" applyFont="1" applyBorder="1"/>
    <xf numFmtId="166" fontId="6" fillId="10" borderId="7" xfId="1" applyNumberFormat="1" applyFont="1" applyFill="1" applyBorder="1" applyAlignment="1" applyProtection="1">
      <alignment horizontal="right" vertical="center" wrapText="1"/>
      <protection locked="0"/>
    </xf>
    <xf numFmtId="0" fontId="3" fillId="10" borderId="70" xfId="0" applyFont="1" applyFill="1" applyBorder="1" applyAlignment="1" applyProtection="1">
      <alignment vertical="center" wrapText="1"/>
      <protection locked="0"/>
    </xf>
    <xf numFmtId="176" fontId="8" fillId="10" borderId="84" xfId="2" applyNumberFormat="1" applyFont="1" applyFill="1" applyBorder="1"/>
    <xf numFmtId="41" fontId="8" fillId="10" borderId="84" xfId="2" applyFont="1" applyFill="1" applyBorder="1"/>
    <xf numFmtId="0" fontId="39" fillId="10" borderId="0" xfId="0" applyFont="1" applyFill="1"/>
    <xf numFmtId="41" fontId="39" fillId="10" borderId="0" xfId="2" applyFont="1" applyFill="1"/>
    <xf numFmtId="0" fontId="2" fillId="45" borderId="0" xfId="0" applyFont="1" applyFill="1"/>
    <xf numFmtId="41" fontId="2" fillId="45" borderId="0" xfId="0" applyNumberFormat="1" applyFont="1" applyFill="1"/>
    <xf numFmtId="41" fontId="6" fillId="10" borderId="2" xfId="2" applyFont="1" applyFill="1" applyBorder="1" applyAlignment="1" applyProtection="1">
      <alignment horizontal="right" vertical="center" wrapText="1"/>
      <protection locked="0"/>
    </xf>
    <xf numFmtId="176" fontId="39" fillId="0" borderId="38" xfId="2" applyNumberFormat="1" applyFont="1" applyBorder="1"/>
    <xf numFmtId="176" fontId="39" fillId="0" borderId="104" xfId="2" applyNumberFormat="1" applyFont="1" applyBorder="1"/>
    <xf numFmtId="41" fontId="39" fillId="0" borderId="104" xfId="2" applyFont="1" applyBorder="1"/>
    <xf numFmtId="176" fontId="39" fillId="0" borderId="40" xfId="2" applyNumberFormat="1" applyFont="1" applyBorder="1"/>
    <xf numFmtId="41" fontId="39" fillId="7" borderId="43" xfId="0" applyNumberFormat="1" applyFont="1" applyFill="1" applyBorder="1"/>
    <xf numFmtId="9" fontId="39" fillId="0" borderId="12" xfId="5" applyFont="1" applyBorder="1"/>
    <xf numFmtId="41" fontId="39" fillId="0" borderId="12" xfId="2" applyFont="1" applyBorder="1"/>
    <xf numFmtId="41" fontId="39" fillId="0" borderId="37" xfId="2" applyFont="1" applyBorder="1"/>
    <xf numFmtId="176" fontId="39" fillId="10" borderId="0" xfId="2" applyNumberFormat="1" applyFont="1" applyFill="1"/>
    <xf numFmtId="41" fontId="39" fillId="45" borderId="0" xfId="2" applyFont="1" applyFill="1"/>
    <xf numFmtId="176" fontId="49" fillId="10" borderId="0" xfId="2" applyNumberFormat="1" applyFont="1" applyFill="1"/>
    <xf numFmtId="41" fontId="38" fillId="10" borderId="90" xfId="2" applyFont="1" applyFill="1" applyBorder="1"/>
    <xf numFmtId="167" fontId="2" fillId="10" borderId="0" xfId="0" applyNumberFormat="1" applyFont="1" applyFill="1" applyAlignment="1">
      <alignment horizontal="right"/>
    </xf>
    <xf numFmtId="0" fontId="3" fillId="10" borderId="0" xfId="0" applyFont="1" applyFill="1" applyAlignment="1" applyProtection="1">
      <alignment vertical="center" wrapText="1"/>
      <protection locked="0"/>
    </xf>
    <xf numFmtId="0" fontId="3" fillId="10" borderId="74" xfId="0" applyFont="1" applyFill="1" applyBorder="1" applyAlignment="1" applyProtection="1">
      <alignment horizontal="center" vertical="center" wrapText="1"/>
      <protection locked="0"/>
    </xf>
    <xf numFmtId="41" fontId="3" fillId="10" borderId="74" xfId="2" applyFont="1" applyFill="1" applyBorder="1" applyAlignment="1" applyProtection="1">
      <alignment horizontal="center" vertical="center" wrapText="1"/>
      <protection locked="0"/>
    </xf>
    <xf numFmtId="0" fontId="6" fillId="10" borderId="70" xfId="0" applyFont="1" applyFill="1" applyBorder="1" applyAlignment="1" applyProtection="1">
      <alignment horizontal="center" vertical="center"/>
      <protection locked="0"/>
    </xf>
    <xf numFmtId="41" fontId="3" fillId="10" borderId="70" xfId="2" applyFont="1" applyFill="1" applyBorder="1" applyAlignment="1" applyProtection="1">
      <alignment horizontal="right" vertical="center" wrapText="1"/>
      <protection locked="0"/>
    </xf>
    <xf numFmtId="172" fontId="2" fillId="0" borderId="0" xfId="0" applyNumberFormat="1" applyFont="1"/>
    <xf numFmtId="0" fontId="50" fillId="5" borderId="105" xfId="0" applyFont="1" applyFill="1" applyBorder="1" applyAlignment="1">
      <alignment horizontal="justify" vertical="center"/>
    </xf>
    <xf numFmtId="0" fontId="51" fillId="5" borderId="105" xfId="0" applyFont="1" applyFill="1" applyBorder="1" applyAlignment="1">
      <alignment horizontal="justify" vertical="center" wrapText="1"/>
    </xf>
    <xf numFmtId="10" fontId="51" fillId="5" borderId="105" xfId="0" applyNumberFormat="1" applyFont="1" applyFill="1" applyBorder="1" applyAlignment="1">
      <alignment horizontal="right" vertical="center" wrapText="1"/>
    </xf>
    <xf numFmtId="0" fontId="51" fillId="5" borderId="105" xfId="0" applyFont="1" applyFill="1" applyBorder="1" applyAlignment="1">
      <alignment horizontal="right" vertical="center" wrapText="1"/>
    </xf>
    <xf numFmtId="9" fontId="51" fillId="5" borderId="105" xfId="0" applyNumberFormat="1" applyFont="1" applyFill="1" applyBorder="1" applyAlignment="1">
      <alignment horizontal="right" vertical="center" wrapText="1"/>
    </xf>
    <xf numFmtId="0" fontId="51" fillId="10" borderId="105" xfId="0" applyFont="1" applyFill="1" applyBorder="1" applyAlignment="1">
      <alignment horizontal="justify" vertical="center" wrapText="1"/>
    </xf>
    <xf numFmtId="10" fontId="51" fillId="10" borderId="105" xfId="0" applyNumberFormat="1" applyFont="1" applyFill="1" applyBorder="1" applyAlignment="1">
      <alignment horizontal="right" vertical="center" wrapText="1"/>
    </xf>
    <xf numFmtId="0" fontId="51" fillId="10" borderId="105" xfId="0" applyFont="1" applyFill="1" applyBorder="1" applyAlignment="1">
      <alignment horizontal="right" vertical="center" wrapText="1"/>
    </xf>
    <xf numFmtId="0" fontId="50" fillId="5" borderId="105" xfId="0" applyFont="1" applyFill="1" applyBorder="1" applyAlignment="1">
      <alignment horizontal="justify" vertical="center" wrapText="1"/>
    </xf>
    <xf numFmtId="10" fontId="50" fillId="5" borderId="105" xfId="0" applyNumberFormat="1" applyFont="1" applyFill="1" applyBorder="1" applyAlignment="1">
      <alignment horizontal="right" vertical="center" wrapText="1"/>
    </xf>
    <xf numFmtId="0" fontId="50" fillId="5" borderId="105" xfId="0" applyFont="1" applyFill="1" applyBorder="1" applyAlignment="1">
      <alignment horizontal="right" vertical="center" wrapText="1"/>
    </xf>
    <xf numFmtId="0" fontId="51" fillId="46" borderId="105" xfId="0" applyFont="1" applyFill="1" applyBorder="1" applyAlignment="1">
      <alignment horizontal="justify" vertical="center" wrapText="1"/>
    </xf>
    <xf numFmtId="9" fontId="51" fillId="46" borderId="105" xfId="0" applyNumberFormat="1" applyFont="1" applyFill="1" applyBorder="1" applyAlignment="1">
      <alignment horizontal="right" vertical="center" wrapText="1"/>
    </xf>
    <xf numFmtId="9" fontId="52" fillId="46" borderId="105" xfId="0" applyNumberFormat="1" applyFont="1" applyFill="1" applyBorder="1" applyAlignment="1">
      <alignment horizontal="right" vertical="center" wrapText="1"/>
    </xf>
    <xf numFmtId="176" fontId="39" fillId="0" borderId="0" xfId="2" applyNumberFormat="1" applyFont="1" applyFill="1"/>
    <xf numFmtId="0" fontId="38" fillId="7" borderId="84" xfId="0" applyFont="1" applyFill="1" applyBorder="1"/>
    <xf numFmtId="41" fontId="38" fillId="7" borderId="84" xfId="2" applyFont="1" applyFill="1" applyBorder="1"/>
    <xf numFmtId="41" fontId="39" fillId="0" borderId="0" xfId="0" applyNumberFormat="1" applyFont="1"/>
    <xf numFmtId="10" fontId="39" fillId="0" borderId="0" xfId="5" applyNumberFormat="1" applyFont="1"/>
    <xf numFmtId="41" fontId="40" fillId="9" borderId="84" xfId="2" applyFont="1" applyFill="1" applyBorder="1"/>
    <xf numFmtId="167" fontId="38" fillId="0" borderId="0" xfId="0" applyNumberFormat="1" applyFont="1"/>
    <xf numFmtId="0" fontId="14" fillId="0" borderId="0" xfId="0" applyFont="1" applyAlignment="1">
      <alignment horizontal="center"/>
    </xf>
    <xf numFmtId="0" fontId="14" fillId="0" borderId="69" xfId="0" applyFont="1" applyBorder="1" applyAlignment="1">
      <alignment horizontal="center"/>
    </xf>
    <xf numFmtId="0" fontId="12" fillId="9" borderId="60" xfId="0" applyFont="1" applyFill="1" applyBorder="1" applyAlignment="1">
      <alignment horizontal="left" vertical="center" wrapText="1"/>
    </xf>
    <xf numFmtId="0" fontId="12" fillId="9" borderId="38" xfId="0" applyFont="1" applyFill="1" applyBorder="1" applyAlignment="1">
      <alignment horizontal="center" vertical="center" wrapText="1"/>
    </xf>
    <xf numFmtId="0" fontId="7" fillId="9" borderId="41" xfId="0" applyFont="1" applyFill="1" applyBorder="1" applyAlignment="1">
      <alignment wrapText="1"/>
    </xf>
    <xf numFmtId="0" fontId="12" fillId="9" borderId="39" xfId="0" applyFont="1" applyFill="1" applyBorder="1" applyAlignment="1">
      <alignment vertical="center" wrapText="1"/>
    </xf>
    <xf numFmtId="0" fontId="7" fillId="9" borderId="42" xfId="0" applyFont="1" applyFill="1" applyBorder="1" applyAlignment="1">
      <alignment wrapText="1"/>
    </xf>
    <xf numFmtId="0" fontId="12" fillId="9" borderId="40" xfId="0" applyFont="1" applyFill="1" applyBorder="1" applyAlignment="1">
      <alignment horizontal="center" vertical="center" wrapText="1"/>
    </xf>
    <xf numFmtId="0" fontId="12" fillId="9" borderId="43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vertical="center" wrapText="1"/>
    </xf>
    <xf numFmtId="0" fontId="12" fillId="9" borderId="38" xfId="0" applyFont="1" applyFill="1" applyBorder="1" applyAlignment="1">
      <alignment horizontal="left" vertical="center" wrapText="1"/>
    </xf>
    <xf numFmtId="0" fontId="12" fillId="9" borderId="40" xfId="0" applyFont="1" applyFill="1" applyBorder="1" applyAlignment="1">
      <alignment horizontal="left" vertical="center" wrapText="1"/>
    </xf>
    <xf numFmtId="0" fontId="12" fillId="9" borderId="43" xfId="0" applyFont="1" applyFill="1" applyBorder="1" applyAlignment="1">
      <alignment horizontal="left" vertical="center" wrapText="1"/>
    </xf>
    <xf numFmtId="0" fontId="12" fillId="9" borderId="37" xfId="0" applyFont="1" applyFill="1" applyBorder="1" applyAlignment="1">
      <alignment horizontal="left" vertical="center" wrapText="1"/>
    </xf>
    <xf numFmtId="0" fontId="12" fillId="9" borderId="39" xfId="0" applyFont="1" applyFill="1" applyBorder="1" applyAlignment="1">
      <alignment horizontal="center" vertical="center" wrapText="1"/>
    </xf>
    <xf numFmtId="0" fontId="12" fillId="9" borderId="42" xfId="0" applyFont="1" applyFill="1" applyBorder="1" applyAlignment="1">
      <alignment horizontal="center" vertical="center" wrapText="1"/>
    </xf>
    <xf numFmtId="0" fontId="12" fillId="9" borderId="45" xfId="0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wrapText="1"/>
    </xf>
    <xf numFmtId="0" fontId="2" fillId="0" borderId="71" xfId="0" applyFont="1" applyBorder="1" applyAlignment="1">
      <alignment horizontal="center" wrapText="1"/>
    </xf>
    <xf numFmtId="172" fontId="2" fillId="7" borderId="58" xfId="6" applyNumberFormat="1" applyFont="1" applyFill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49" fontId="2" fillId="7" borderId="58" xfId="0" applyNumberFormat="1" applyFont="1" applyFill="1" applyBorder="1" applyAlignment="1">
      <alignment horizontal="center" wrapText="1"/>
    </xf>
    <xf numFmtId="49" fontId="2" fillId="0" borderId="60" xfId="0" applyNumberFormat="1" applyFont="1" applyBorder="1" applyAlignment="1">
      <alignment horizontal="center" wrapText="1"/>
    </xf>
    <xf numFmtId="49" fontId="2" fillId="0" borderId="71" xfId="0" applyNumberFormat="1" applyFont="1" applyBorder="1" applyAlignment="1">
      <alignment horizontal="center" wrapText="1"/>
    </xf>
    <xf numFmtId="0" fontId="12" fillId="9" borderId="72" xfId="0" applyFont="1" applyFill="1" applyBorder="1" applyAlignment="1">
      <alignment horizontal="center" vertical="center" wrapText="1"/>
    </xf>
    <xf numFmtId="0" fontId="12" fillId="9" borderId="73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 wrapText="1"/>
    </xf>
    <xf numFmtId="0" fontId="12" fillId="9" borderId="73" xfId="0" applyFont="1" applyFill="1" applyBorder="1" applyAlignment="1">
      <alignment horizontal="left" vertical="center" wrapText="1"/>
    </xf>
    <xf numFmtId="14" fontId="12" fillId="9" borderId="0" xfId="0" applyNumberFormat="1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8" fillId="0" borderId="73" xfId="0" applyFont="1" applyBorder="1" applyAlignment="1">
      <alignment horizontal="center"/>
    </xf>
    <xf numFmtId="0" fontId="12" fillId="9" borderId="58" xfId="0" applyFont="1" applyFill="1" applyBorder="1" applyAlignment="1">
      <alignment horizontal="center" wrapText="1"/>
    </xf>
    <xf numFmtId="0" fontId="12" fillId="9" borderId="71" xfId="0" applyFont="1" applyFill="1" applyBorder="1" applyAlignment="1">
      <alignment horizontal="center" wrapText="1"/>
    </xf>
    <xf numFmtId="0" fontId="12" fillId="9" borderId="58" xfId="0" applyFont="1" applyFill="1" applyBorder="1" applyAlignment="1">
      <alignment wrapText="1"/>
    </xf>
    <xf numFmtId="0" fontId="12" fillId="9" borderId="60" xfId="0" applyFont="1" applyFill="1" applyBorder="1" applyAlignment="1">
      <alignment wrapText="1"/>
    </xf>
    <xf numFmtId="0" fontId="12" fillId="9" borderId="71" xfId="0" applyFont="1" applyFill="1" applyBorder="1" applyAlignment="1">
      <alignment wrapText="1"/>
    </xf>
    <xf numFmtId="0" fontId="12" fillId="9" borderId="58" xfId="0" applyFont="1" applyFill="1" applyBorder="1" applyAlignment="1">
      <alignment vertical="center" wrapText="1"/>
    </xf>
    <xf numFmtId="0" fontId="12" fillId="9" borderId="60" xfId="0" applyFont="1" applyFill="1" applyBorder="1" applyAlignment="1">
      <alignment vertical="center" wrapText="1"/>
    </xf>
    <xf numFmtId="0" fontId="12" fillId="9" borderId="71" xfId="0" applyFont="1" applyFill="1" applyBorder="1" applyAlignment="1">
      <alignment vertical="center" wrapText="1"/>
    </xf>
    <xf numFmtId="0" fontId="8" fillId="0" borderId="73" xfId="0" applyFont="1" applyBorder="1" applyAlignment="1">
      <alignment horizontal="left" wrapText="1"/>
    </xf>
    <xf numFmtId="0" fontId="3" fillId="5" borderId="7" xfId="0" applyFont="1" applyFill="1" applyBorder="1" applyAlignment="1" applyProtection="1">
      <alignment horizontal="left" vertical="center" wrapText="1"/>
      <protection locked="0"/>
    </xf>
    <xf numFmtId="0" fontId="3" fillId="5" borderId="70" xfId="0" applyFont="1" applyFill="1" applyBorder="1" applyAlignment="1" applyProtection="1">
      <alignment horizontal="left" vertical="center" wrapText="1"/>
      <protection locked="0"/>
    </xf>
    <xf numFmtId="0" fontId="3" fillId="5" borderId="10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4" borderId="6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5" borderId="59" xfId="0" applyFont="1" applyFill="1" applyBorder="1" applyAlignment="1" applyProtection="1">
      <alignment horizontal="center" vertical="center" wrapText="1"/>
      <protection locked="0"/>
    </xf>
    <xf numFmtId="0" fontId="3" fillId="5" borderId="62" xfId="0" applyFont="1" applyFill="1" applyBorder="1" applyAlignment="1" applyProtection="1">
      <alignment horizontal="center" vertical="center" wrapText="1"/>
      <protection locked="0"/>
    </xf>
    <xf numFmtId="0" fontId="3" fillId="5" borderId="58" xfId="0" applyFont="1" applyFill="1" applyBorder="1" applyAlignment="1" applyProtection="1">
      <alignment horizontal="center" vertical="center" wrapText="1"/>
      <protection locked="0"/>
    </xf>
    <xf numFmtId="0" fontId="3" fillId="5" borderId="71" xfId="0" applyFont="1" applyFill="1" applyBorder="1" applyAlignment="1" applyProtection="1">
      <alignment horizontal="center" vertical="center" wrapText="1"/>
      <protection locked="0"/>
    </xf>
    <xf numFmtId="0" fontId="3" fillId="5" borderId="58" xfId="0" applyFont="1" applyFill="1" applyBorder="1" applyAlignment="1" applyProtection="1">
      <alignment horizontal="left" vertical="center" wrapText="1"/>
      <protection locked="0"/>
    </xf>
    <xf numFmtId="0" fontId="3" fillId="5" borderId="60" xfId="0" applyFont="1" applyFill="1" applyBorder="1" applyAlignment="1" applyProtection="1">
      <alignment horizontal="left" vertical="center" wrapText="1"/>
      <protection locked="0"/>
    </xf>
    <xf numFmtId="0" fontId="3" fillId="5" borderId="71" xfId="0" applyFont="1" applyFill="1" applyBorder="1" applyAlignment="1" applyProtection="1">
      <alignment horizontal="left" vertical="center" wrapText="1"/>
      <protection locked="0"/>
    </xf>
    <xf numFmtId="0" fontId="3" fillId="5" borderId="17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7" borderId="66" xfId="0" applyFont="1" applyFill="1" applyBorder="1" applyAlignment="1" applyProtection="1">
      <alignment horizontal="center" vertical="center" wrapText="1"/>
      <protection locked="0"/>
    </xf>
    <xf numFmtId="0" fontId="3" fillId="7" borderId="64" xfId="0" applyFont="1" applyFill="1" applyBorder="1" applyAlignment="1" applyProtection="1">
      <alignment horizontal="center" vertical="center" wrapText="1"/>
      <protection locked="0"/>
    </xf>
    <xf numFmtId="0" fontId="3" fillId="7" borderId="65" xfId="0" applyFont="1" applyFill="1" applyBorder="1" applyAlignment="1" applyProtection="1">
      <alignment horizontal="center" vertical="center" wrapText="1"/>
      <protection locked="0"/>
    </xf>
    <xf numFmtId="166" fontId="3" fillId="5" borderId="58" xfId="1" applyNumberFormat="1" applyFont="1" applyFill="1" applyBorder="1" applyAlignment="1" applyProtection="1">
      <alignment horizontal="center" vertical="center" wrapText="1"/>
      <protection locked="0"/>
    </xf>
    <xf numFmtId="166" fontId="3" fillId="5" borderId="60" xfId="1" applyNumberFormat="1" applyFont="1" applyFill="1" applyBorder="1" applyAlignment="1" applyProtection="1">
      <alignment horizontal="center" vertical="center" wrapText="1"/>
      <protection locked="0"/>
    </xf>
    <xf numFmtId="166" fontId="3" fillId="5" borderId="71" xfId="1" applyNumberFormat="1" applyFont="1" applyFill="1" applyBorder="1" applyAlignment="1" applyProtection="1">
      <alignment horizontal="center" vertical="center" wrapText="1"/>
      <protection locked="0"/>
    </xf>
    <xf numFmtId="166" fontId="3" fillId="5" borderId="11" xfId="1" applyNumberFormat="1" applyFont="1" applyFill="1" applyBorder="1" applyAlignment="1" applyProtection="1">
      <alignment horizontal="center" vertical="center" wrapText="1"/>
      <protection locked="0"/>
    </xf>
    <xf numFmtId="166" fontId="3" fillId="5" borderId="12" xfId="1" applyNumberFormat="1" applyFont="1" applyFill="1" applyBorder="1" applyAlignment="1" applyProtection="1">
      <alignment horizontal="center" vertical="center" wrapText="1"/>
      <protection locked="0"/>
    </xf>
    <xf numFmtId="166" fontId="3" fillId="5" borderId="13" xfId="1" applyNumberFormat="1" applyFont="1" applyFill="1" applyBorder="1" applyAlignment="1" applyProtection="1">
      <alignment horizontal="center" vertical="center" wrapText="1"/>
      <protection locked="0"/>
    </xf>
    <xf numFmtId="166" fontId="3" fillId="5" borderId="58" xfId="1" applyNumberFormat="1" applyFont="1" applyFill="1" applyBorder="1" applyAlignment="1" applyProtection="1">
      <alignment horizontal="right" vertical="center" wrapText="1"/>
      <protection locked="0"/>
    </xf>
    <xf numFmtId="166" fontId="3" fillId="5" borderId="60" xfId="1" applyNumberFormat="1" applyFont="1" applyFill="1" applyBorder="1" applyAlignment="1" applyProtection="1">
      <alignment horizontal="right" vertical="center" wrapText="1"/>
      <protection locked="0"/>
    </xf>
    <xf numFmtId="166" fontId="3" fillId="5" borderId="71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6" fontId="3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41" fontId="6" fillId="3" borderId="10" xfId="2" applyFont="1" applyFill="1" applyBorder="1" applyAlignment="1" applyProtection="1">
      <alignment horizontal="right" vertical="center" wrapText="1"/>
      <protection locked="0"/>
    </xf>
    <xf numFmtId="0" fontId="3" fillId="3" borderId="17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0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5" borderId="7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right" vertical="center" wrapText="1"/>
      <protection locked="0"/>
    </xf>
    <xf numFmtId="0" fontId="3" fillId="10" borderId="17" xfId="0" applyFont="1" applyFill="1" applyBorder="1" applyAlignment="1" applyProtection="1">
      <alignment horizontal="left" vertical="center" wrapText="1"/>
      <protection locked="0"/>
    </xf>
    <xf numFmtId="0" fontId="3" fillId="7" borderId="70" xfId="0" applyFont="1" applyFill="1" applyBorder="1" applyAlignment="1" applyProtection="1">
      <alignment horizontal="right" vertical="center" wrapText="1"/>
      <protection locked="0"/>
    </xf>
    <xf numFmtId="0" fontId="3" fillId="5" borderId="66" xfId="0" applyFont="1" applyFill="1" applyBorder="1" applyAlignment="1" applyProtection="1">
      <alignment horizontal="center" vertical="center" wrapText="1"/>
      <protection locked="0"/>
    </xf>
    <xf numFmtId="0" fontId="3" fillId="5" borderId="64" xfId="0" applyFont="1" applyFill="1" applyBorder="1" applyAlignment="1" applyProtection="1">
      <alignment horizontal="center" vertical="center" wrapText="1"/>
      <protection locked="0"/>
    </xf>
    <xf numFmtId="0" fontId="3" fillId="5" borderId="67" xfId="0" applyFont="1" applyFill="1" applyBorder="1" applyAlignment="1" applyProtection="1">
      <alignment horizontal="center" vertical="center" wrapText="1"/>
      <protection locked="0"/>
    </xf>
    <xf numFmtId="0" fontId="3" fillId="5" borderId="61" xfId="0" applyFont="1" applyFill="1" applyBorder="1" applyAlignment="1" applyProtection="1">
      <alignment horizontal="center" vertical="center" wrapText="1"/>
      <protection locked="0"/>
    </xf>
    <xf numFmtId="0" fontId="3" fillId="5" borderId="69" xfId="0" applyFont="1" applyFill="1" applyBorder="1" applyAlignment="1" applyProtection="1">
      <alignment horizontal="center" vertical="center" wrapText="1"/>
      <protection locked="0"/>
    </xf>
    <xf numFmtId="0" fontId="3" fillId="5" borderId="68" xfId="0" applyFont="1" applyFill="1" applyBorder="1" applyAlignment="1" applyProtection="1">
      <alignment horizontal="center" vertical="center" wrapText="1"/>
      <protection locked="0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justify" vertical="center" wrapText="1"/>
      <protection locked="0"/>
    </xf>
    <xf numFmtId="0" fontId="6" fillId="2" borderId="70" xfId="0" applyFont="1" applyFill="1" applyBorder="1" applyAlignment="1" applyProtection="1">
      <alignment horizontal="justify" vertical="center" wrapText="1"/>
      <protection locked="0"/>
    </xf>
    <xf numFmtId="0" fontId="3" fillId="10" borderId="70" xfId="0" applyFont="1" applyFill="1" applyBorder="1" applyAlignment="1" applyProtection="1">
      <alignment horizontal="left" vertical="center" wrapText="1"/>
      <protection locked="0"/>
    </xf>
    <xf numFmtId="0" fontId="3" fillId="10" borderId="70" xfId="0" applyFont="1" applyFill="1" applyBorder="1" applyAlignment="1" applyProtection="1">
      <alignment horizontal="center" vertical="center" wrapText="1"/>
      <protection locked="0"/>
    </xf>
    <xf numFmtId="166" fontId="3" fillId="10" borderId="70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70" xfId="0" applyFont="1" applyFill="1" applyBorder="1" applyAlignment="1" applyProtection="1">
      <alignment horizontal="center" vertical="center" wrapText="1"/>
      <protection locked="0"/>
    </xf>
    <xf numFmtId="41" fontId="3" fillId="5" borderId="70" xfId="2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6" fontId="6" fillId="3" borderId="70" xfId="1" applyNumberFormat="1" applyFont="1" applyFill="1" applyBorder="1" applyAlignment="1" applyProtection="1">
      <alignment horizontal="right" vertical="center" wrapText="1"/>
      <protection locked="0"/>
    </xf>
    <xf numFmtId="0" fontId="3" fillId="7" borderId="58" xfId="0" applyFont="1" applyFill="1" applyBorder="1" applyAlignment="1" applyProtection="1">
      <alignment horizontal="center" vertical="center" wrapText="1"/>
      <protection locked="0"/>
    </xf>
    <xf numFmtId="0" fontId="3" fillId="7" borderId="60" xfId="0" applyFont="1" applyFill="1" applyBorder="1" applyAlignment="1" applyProtection="1">
      <alignment horizontal="center" vertical="center" wrapText="1"/>
      <protection locked="0"/>
    </xf>
    <xf numFmtId="0" fontId="3" fillId="7" borderId="71" xfId="0" applyFont="1" applyFill="1" applyBorder="1" applyAlignment="1" applyProtection="1">
      <alignment horizontal="center" vertical="center" wrapText="1"/>
      <protection locked="0"/>
    </xf>
    <xf numFmtId="166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6" fillId="10" borderId="2" xfId="0" applyFont="1" applyFill="1" applyBorder="1" applyAlignment="1" applyProtection="1">
      <alignment horizontal="center" vertical="center" wrapText="1"/>
      <protection locked="0"/>
    </xf>
    <xf numFmtId="0" fontId="6" fillId="10" borderId="3" xfId="0" applyFont="1" applyFill="1" applyBorder="1" applyAlignment="1" applyProtection="1">
      <alignment horizontal="center" vertical="center" wrapText="1"/>
      <protection locked="0"/>
    </xf>
    <xf numFmtId="0" fontId="3" fillId="10" borderId="7" xfId="0" applyFont="1" applyFill="1" applyBorder="1" applyAlignment="1" applyProtection="1">
      <alignment horizontal="left" vertical="center" wrapText="1"/>
      <protection locked="0"/>
    </xf>
    <xf numFmtId="166" fontId="6" fillId="10" borderId="7" xfId="1" applyNumberFormat="1" applyFont="1" applyFill="1" applyBorder="1" applyAlignment="1" applyProtection="1">
      <alignment horizontal="right" vertical="center" wrapText="1"/>
      <protection locked="0"/>
    </xf>
    <xf numFmtId="166" fontId="6" fillId="3" borderId="7" xfId="1" applyNumberFormat="1" applyFont="1" applyFill="1" applyBorder="1" applyAlignment="1" applyProtection="1">
      <alignment horizontal="right" vertical="center" wrapText="1"/>
      <protection locked="0"/>
    </xf>
    <xf numFmtId="41" fontId="3" fillId="3" borderId="70" xfId="2" applyFont="1" applyFill="1" applyBorder="1" applyAlignment="1" applyProtection="1">
      <alignment horizontal="right" vertical="center" wrapText="1"/>
      <protection locked="0"/>
    </xf>
    <xf numFmtId="0" fontId="3" fillId="5" borderId="70" xfId="0" applyFont="1" applyFill="1" applyBorder="1" applyAlignment="1" applyProtection="1">
      <alignment horizontal="center" vertical="center" wrapText="1"/>
      <protection locked="0"/>
    </xf>
    <xf numFmtId="167" fontId="3" fillId="5" borderId="7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60" xfId="0" applyFont="1" applyFill="1" applyBorder="1" applyAlignment="1" applyProtection="1">
      <alignment horizontal="center" vertical="center" wrapText="1"/>
      <protection locked="0"/>
    </xf>
    <xf numFmtId="167" fontId="8" fillId="0" borderId="81" xfId="0" applyNumberFormat="1" applyFont="1" applyBorder="1" applyAlignment="1">
      <alignment horizontal="center"/>
    </xf>
    <xf numFmtId="0" fontId="3" fillId="5" borderId="76" xfId="0" applyFont="1" applyFill="1" applyBorder="1" applyAlignment="1" applyProtection="1">
      <alignment horizontal="left" vertical="center" wrapText="1"/>
      <protection locked="0"/>
    </xf>
    <xf numFmtId="0" fontId="3" fillId="5" borderId="78" xfId="0" applyFont="1" applyFill="1" applyBorder="1" applyAlignment="1" applyProtection="1">
      <alignment horizontal="left" vertical="center" wrapText="1"/>
      <protection locked="0"/>
    </xf>
    <xf numFmtId="0" fontId="3" fillId="5" borderId="77" xfId="0" applyFont="1" applyFill="1" applyBorder="1" applyAlignment="1" applyProtection="1">
      <alignment horizontal="left" vertical="center" wrapText="1"/>
      <protection locked="0"/>
    </xf>
    <xf numFmtId="0" fontId="3" fillId="10" borderId="76" xfId="0" applyFont="1" applyFill="1" applyBorder="1" applyAlignment="1" applyProtection="1">
      <alignment horizontal="left" vertical="center" wrapText="1"/>
      <protection locked="0"/>
    </xf>
    <xf numFmtId="0" fontId="3" fillId="10" borderId="78" xfId="0" applyFont="1" applyFill="1" applyBorder="1" applyAlignment="1" applyProtection="1">
      <alignment horizontal="left" vertical="center" wrapText="1"/>
      <protection locked="0"/>
    </xf>
    <xf numFmtId="0" fontId="3" fillId="10" borderId="77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65" fontId="3" fillId="3" borderId="70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7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12" fillId="9" borderId="70" xfId="0" applyFont="1" applyFill="1" applyBorder="1" applyAlignment="1">
      <alignment horizontal="center" vertical="center" wrapText="1"/>
    </xf>
    <xf numFmtId="0" fontId="12" fillId="9" borderId="59" xfId="0" applyFont="1" applyFill="1" applyBorder="1" applyAlignment="1">
      <alignment horizontal="center" vertical="center" wrapText="1"/>
    </xf>
    <xf numFmtId="0" fontId="8" fillId="0" borderId="69" xfId="0" applyFont="1" applyBorder="1" applyAlignment="1">
      <alignment horizontal="center"/>
    </xf>
    <xf numFmtId="10" fontId="8" fillId="0" borderId="0" xfId="5" applyNumberFormat="1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9" borderId="66" xfId="0" applyFont="1" applyFill="1" applyBorder="1" applyAlignment="1">
      <alignment horizontal="center" wrapText="1"/>
    </xf>
    <xf numFmtId="0" fontId="12" fillId="9" borderId="79" xfId="0" applyFont="1" applyFill="1" applyBorder="1" applyAlignment="1">
      <alignment horizontal="center" wrapText="1"/>
    </xf>
    <xf numFmtId="0" fontId="12" fillId="9" borderId="80" xfId="0" applyFont="1" applyFill="1" applyBorder="1" applyAlignment="1">
      <alignment horizontal="center" wrapText="1"/>
    </xf>
    <xf numFmtId="0" fontId="12" fillId="9" borderId="81" xfId="0" applyFont="1" applyFill="1" applyBorder="1" applyAlignment="1">
      <alignment horizontal="center" wrapText="1"/>
    </xf>
    <xf numFmtId="0" fontId="12" fillId="9" borderId="67" xfId="0" applyFont="1" applyFill="1" applyBorder="1" applyAlignment="1">
      <alignment horizontal="center" wrapText="1"/>
    </xf>
    <xf numFmtId="0" fontId="12" fillId="9" borderId="82" xfId="0" applyFont="1" applyFill="1" applyBorder="1" applyAlignment="1">
      <alignment horizontal="center" wrapText="1"/>
    </xf>
    <xf numFmtId="176" fontId="14" fillId="0" borderId="81" xfId="2" applyNumberFormat="1" applyFont="1" applyBorder="1" applyAlignment="1">
      <alignment horizontal="center"/>
    </xf>
    <xf numFmtId="41" fontId="3" fillId="3" borderId="10" xfId="2" applyFont="1" applyFill="1" applyBorder="1" applyAlignment="1" applyProtection="1">
      <alignment horizontal="right" vertical="center" wrapText="1"/>
      <protection locked="0"/>
    </xf>
    <xf numFmtId="166" fontId="3" fillId="5" borderId="70" xfId="1" applyNumberFormat="1" applyFont="1" applyFill="1" applyBorder="1" applyAlignment="1" applyProtection="1">
      <alignment horizontal="center" vertical="center" wrapText="1"/>
      <protection locked="0"/>
    </xf>
    <xf numFmtId="41" fontId="3" fillId="10" borderId="70" xfId="0" applyNumberFormat="1" applyFont="1" applyFill="1" applyBorder="1" applyAlignment="1" applyProtection="1">
      <alignment horizontal="center" vertical="center" wrapText="1"/>
      <protection locked="0"/>
    </xf>
    <xf numFmtId="167" fontId="3" fillId="10" borderId="70" xfId="0" applyNumberFormat="1" applyFont="1" applyFill="1" applyBorder="1" applyAlignment="1" applyProtection="1">
      <alignment horizontal="center" vertical="center" wrapText="1"/>
      <protection locked="0"/>
    </xf>
    <xf numFmtId="41" fontId="3" fillId="10" borderId="70" xfId="0" applyNumberFormat="1" applyFont="1" applyFill="1" applyBorder="1" applyAlignment="1" applyProtection="1">
      <alignment vertical="center" wrapText="1"/>
      <protection locked="0"/>
    </xf>
    <xf numFmtId="0" fontId="3" fillId="10" borderId="70" xfId="0" applyFont="1" applyFill="1" applyBorder="1" applyAlignment="1" applyProtection="1">
      <alignment vertical="center" wrapText="1"/>
      <protection locked="0"/>
    </xf>
    <xf numFmtId="176" fontId="38" fillId="0" borderId="81" xfId="2" applyNumberFormat="1" applyFont="1" applyBorder="1" applyAlignment="1">
      <alignment horizontal="center"/>
    </xf>
    <xf numFmtId="0" fontId="14" fillId="0" borderId="81" xfId="0" applyFont="1" applyBorder="1" applyAlignment="1">
      <alignment horizontal="center"/>
    </xf>
    <xf numFmtId="41" fontId="12" fillId="9" borderId="83" xfId="2" applyFont="1" applyFill="1" applyBorder="1" applyAlignment="1">
      <alignment horizontal="center"/>
    </xf>
    <xf numFmtId="41" fontId="12" fillId="9" borderId="84" xfId="2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 wrapText="1"/>
    </xf>
    <xf numFmtId="0" fontId="4" fillId="8" borderId="28" xfId="0" applyFont="1" applyFill="1" applyBorder="1" applyAlignment="1">
      <alignment horizontal="center" wrapText="1"/>
    </xf>
    <xf numFmtId="0" fontId="4" fillId="8" borderId="27" xfId="0" applyFont="1" applyFill="1" applyBorder="1" applyAlignment="1">
      <alignment horizontal="center" wrapText="1"/>
    </xf>
    <xf numFmtId="0" fontId="4" fillId="8" borderId="24" xfId="0" applyFont="1" applyFill="1" applyBorder="1" applyAlignment="1">
      <alignment horizontal="center" wrapText="1"/>
    </xf>
    <xf numFmtId="41" fontId="3" fillId="0" borderId="70" xfId="0" applyNumberFormat="1" applyFont="1" applyBorder="1" applyAlignment="1" applyProtection="1">
      <alignment vertical="center" wrapText="1"/>
      <protection locked="0"/>
    </xf>
    <xf numFmtId="0" fontId="3" fillId="0" borderId="70" xfId="0" applyFont="1" applyBorder="1" applyAlignment="1" applyProtection="1">
      <alignment vertical="center" wrapText="1"/>
      <protection locked="0"/>
    </xf>
    <xf numFmtId="0" fontId="3" fillId="0" borderId="70" xfId="0" applyFont="1" applyBorder="1" applyAlignment="1" applyProtection="1">
      <alignment horizontal="center" vertical="center" wrapText="1"/>
      <protection locked="0"/>
    </xf>
    <xf numFmtId="167" fontId="3" fillId="0" borderId="70" xfId="0" applyNumberFormat="1" applyFont="1" applyBorder="1" applyAlignment="1" applyProtection="1">
      <alignment horizontal="center" vertical="center" wrapText="1"/>
      <protection locked="0"/>
    </xf>
    <xf numFmtId="167" fontId="3" fillId="0" borderId="87" xfId="0" applyNumberFormat="1" applyFont="1" applyBorder="1" applyAlignment="1" applyProtection="1">
      <alignment horizontal="center" vertical="center" wrapText="1"/>
      <protection locked="0"/>
    </xf>
    <xf numFmtId="167" fontId="3" fillId="0" borderId="86" xfId="0" applyNumberFormat="1" applyFont="1" applyBorder="1" applyAlignment="1" applyProtection="1">
      <alignment horizontal="center" vertical="center" wrapText="1"/>
      <protection locked="0"/>
    </xf>
    <xf numFmtId="167" fontId="3" fillId="0" borderId="88" xfId="0" applyNumberFormat="1" applyFont="1" applyBorder="1" applyAlignment="1" applyProtection="1">
      <alignment horizontal="center" vertical="center" wrapText="1"/>
      <protection locked="0"/>
    </xf>
    <xf numFmtId="41" fontId="8" fillId="47" borderId="84" xfId="2" applyFont="1" applyFill="1" applyBorder="1"/>
    <xf numFmtId="41" fontId="2" fillId="47" borderId="0" xfId="0" applyNumberFormat="1" applyFont="1" applyFill="1"/>
  </cellXfs>
  <cellStyles count="49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o" xfId="12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8" builtinId="16" customBuiltin="1"/>
    <cellStyle name="Encabezado 4" xfId="11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5" builtinId="20" customBuiltin="1"/>
    <cellStyle name="Hipervínculo" xfId="3" builtinId="8"/>
    <cellStyle name="Incorrecto" xfId="13" builtinId="27" customBuiltin="1"/>
    <cellStyle name="Millares" xfId="1" builtinId="3"/>
    <cellStyle name="Millares [0]" xfId="2" builtinId="6"/>
    <cellStyle name="Moneda" xfId="6" builtinId="4"/>
    <cellStyle name="Neutral" xfId="14" builtinId="28" customBuiltin="1"/>
    <cellStyle name="Normal" xfId="0" builtinId="0"/>
    <cellStyle name="Normal 2" xfId="4" xr:uid="{00000000-0005-0000-0000-000004000000}"/>
    <cellStyle name="Normal 36 3 2" xfId="48" xr:uid="{B0670097-02EE-4A42-A8EE-8618A0C7E9BC}"/>
    <cellStyle name="Notas" xfId="21" builtinId="10" customBuiltin="1"/>
    <cellStyle name="Porcentaje" xfId="5" builtinId="5"/>
    <cellStyle name="Salida" xfId="16" builtinId="21" customBuiltin="1"/>
    <cellStyle name="Texto de advertencia" xfId="20" builtinId="11" customBuiltin="1"/>
    <cellStyle name="Texto explicativo" xfId="22" builtinId="53" customBuiltin="1"/>
    <cellStyle name="Título" xfId="7" builtinId="15" customBuiltin="1"/>
    <cellStyle name="Título 2" xfId="9" builtinId="17" customBuiltin="1"/>
    <cellStyle name="Título 3" xfId="10" builtinId="18" customBuiltin="1"/>
    <cellStyle name="Total" xfId="23" builtinId="25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7" formatCode="#,##0_ ;[Red]\-#,##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7" formatCode="#,##0_ ;[Red]\-#,##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7" formatCode="#,##0_ ;[Red]\-#,##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7" formatCode="#,##0_ ;[Red]\-#,##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7" formatCode="#,##0_ ;[Red]\-#,##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7" formatCode="#,##0_ ;[Red]\-#,##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5" formatCode="#####"/>
      <alignment horizontal="center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Times New Roman"/>
        <family val="1"/>
        <scheme val="none"/>
      </font>
      <numFmt numFmtId="175" formatCode="#####"/>
      <fill>
        <patternFill patternType="solid">
          <fgColor indexed="64"/>
          <bgColor rgb="FF99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23813</xdr:rowOff>
    </xdr:from>
    <xdr:to>
      <xdr:col>6</xdr:col>
      <xdr:colOff>349885</xdr:colOff>
      <xdr:row>5</xdr:row>
      <xdr:rowOff>166416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0F8D6A-0ABF-F431-8519-C3D0C0CFE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3" y="23813"/>
          <a:ext cx="4136072" cy="10951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46831</xdr:colOff>
      <xdr:row>3</xdr:row>
      <xdr:rowOff>185077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FE3C59-F119-4356-AD7A-5139FCB6C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7565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452437</xdr:colOff>
      <xdr:row>3</xdr:row>
      <xdr:rowOff>185077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B99F09-EB64-46D0-B9FD-0E8FA982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756577"/>
        </a:xfrm>
        <a:prstGeom prst="rect">
          <a:avLst/>
        </a:prstGeom>
      </xdr:spPr>
    </xdr:pic>
    <xdr:clientData/>
  </xdr:twoCellAnchor>
  <xdr:twoCellAnchor editAs="oneCell">
    <xdr:from>
      <xdr:col>19</xdr:col>
      <xdr:colOff>714372</xdr:colOff>
      <xdr:row>0</xdr:row>
      <xdr:rowOff>0</xdr:rowOff>
    </xdr:from>
    <xdr:to>
      <xdr:col>32</xdr:col>
      <xdr:colOff>523871</xdr:colOff>
      <xdr:row>52</xdr:row>
      <xdr:rowOff>109035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99D57B-3B7F-01CE-BEDA-643EE10DB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3528" y="0"/>
          <a:ext cx="9679781" cy="10443660"/>
        </a:xfrm>
        <a:prstGeom prst="rect">
          <a:avLst/>
        </a:prstGeom>
      </xdr:spPr>
    </xdr:pic>
    <xdr:clientData/>
  </xdr:twoCellAnchor>
  <xdr:twoCellAnchor editAs="oneCell">
    <xdr:from>
      <xdr:col>12</xdr:col>
      <xdr:colOff>619126</xdr:colOff>
      <xdr:row>19</xdr:row>
      <xdr:rowOff>83344</xdr:rowOff>
    </xdr:from>
    <xdr:to>
      <xdr:col>17</xdr:col>
      <xdr:colOff>922121</xdr:colOff>
      <xdr:row>51</xdr:row>
      <xdr:rowOff>105654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374635-EC77-7625-8BD6-52A537285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9001" y="3952875"/>
          <a:ext cx="4124901" cy="62969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19</xdr:col>
      <xdr:colOff>152400</xdr:colOff>
      <xdr:row>9</xdr:row>
      <xdr:rowOff>144236</xdr:rowOff>
    </xdr:to>
    <xdr:pic>
      <xdr:nvPicPr>
        <xdr:cNvPr id="2" name="1 Imagen" descr="https://www4.sii.cl/rfiInternet/images/F29V2/group_opened.png">
          <a:extLst>
            <a:ext uri="{FF2B5EF4-FFF2-40B4-BE49-F238E27FC236}">
              <a16:creationId xmlns:a16="http://schemas.microsoft.com/office/drawing/2014/main" id="{A7B0F851-AD11-42E0-9385-F84846B4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762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152400</xdr:colOff>
      <xdr:row>10</xdr:row>
      <xdr:rowOff>144236</xdr:rowOff>
    </xdr:to>
    <xdr:pic>
      <xdr:nvPicPr>
        <xdr:cNvPr id="3" name="2 Imagen" descr="https://www4.sii.cl/rfiInternet/images/F29V2/group_opened.png">
          <a:extLst>
            <a:ext uri="{FF2B5EF4-FFF2-40B4-BE49-F238E27FC236}">
              <a16:creationId xmlns:a16="http://schemas.microsoft.com/office/drawing/2014/main" id="{B4A05532-DC0A-44EB-8790-49776D35B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9526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152400</xdr:colOff>
      <xdr:row>11</xdr:row>
      <xdr:rowOff>144236</xdr:rowOff>
    </xdr:to>
    <xdr:pic>
      <xdr:nvPicPr>
        <xdr:cNvPr id="4" name="3 Imagen" descr="https://www4.sii.cl/rfiInternet/images/F29V2/group_opened.png">
          <a:extLst>
            <a:ext uri="{FF2B5EF4-FFF2-40B4-BE49-F238E27FC236}">
              <a16:creationId xmlns:a16="http://schemas.microsoft.com/office/drawing/2014/main" id="{A12F4AD1-642E-4DDB-9F1D-295C07AEF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43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152400</xdr:colOff>
      <xdr:row>19</xdr:row>
      <xdr:rowOff>144236</xdr:rowOff>
    </xdr:to>
    <xdr:pic>
      <xdr:nvPicPr>
        <xdr:cNvPr id="5" name="4 Imagen" descr="https://www4.sii.cl/rfiInternet/images/F29V2/group_opened.png">
          <a:extLst>
            <a:ext uri="{FF2B5EF4-FFF2-40B4-BE49-F238E27FC236}">
              <a16:creationId xmlns:a16="http://schemas.microsoft.com/office/drawing/2014/main" id="{287998E8-090D-4027-8618-EC52E0B9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667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152400</xdr:colOff>
      <xdr:row>38</xdr:row>
      <xdr:rowOff>144236</xdr:rowOff>
    </xdr:to>
    <xdr:pic>
      <xdr:nvPicPr>
        <xdr:cNvPr id="6" name="5 Imagen" descr="https://www4.sii.cl/rfiInternet/images/F29V2/group_opened.png">
          <a:extLst>
            <a:ext uri="{FF2B5EF4-FFF2-40B4-BE49-F238E27FC236}">
              <a16:creationId xmlns:a16="http://schemas.microsoft.com/office/drawing/2014/main" id="{663FE74F-5840-492A-AFB8-B15DF8601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30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19</xdr:col>
      <xdr:colOff>152400</xdr:colOff>
      <xdr:row>39</xdr:row>
      <xdr:rowOff>144236</xdr:rowOff>
    </xdr:to>
    <xdr:pic>
      <xdr:nvPicPr>
        <xdr:cNvPr id="7" name="6 Imagen" descr="https://www4.sii.cl/rfiInternet/images/F29V2/group_opened.png">
          <a:extLst>
            <a:ext uri="{FF2B5EF4-FFF2-40B4-BE49-F238E27FC236}">
              <a16:creationId xmlns:a16="http://schemas.microsoft.com/office/drawing/2014/main" id="{71DD1D22-2CBF-4CDE-93B6-89A6615E7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496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152400</xdr:colOff>
      <xdr:row>42</xdr:row>
      <xdr:rowOff>144236</xdr:rowOff>
    </xdr:to>
    <xdr:pic>
      <xdr:nvPicPr>
        <xdr:cNvPr id="8" name="7 Imagen" descr="https://www4.sii.cl/rfiInternet/images/F29V2/group_opened.png">
          <a:extLst>
            <a:ext uri="{FF2B5EF4-FFF2-40B4-BE49-F238E27FC236}">
              <a16:creationId xmlns:a16="http://schemas.microsoft.com/office/drawing/2014/main" id="{E63B2509-F10A-46E1-B984-E958D6B2D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8258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47</xdr:row>
      <xdr:rowOff>0</xdr:rowOff>
    </xdr:from>
    <xdr:to>
      <xdr:col>19</xdr:col>
      <xdr:colOff>152400</xdr:colOff>
      <xdr:row>47</xdr:row>
      <xdr:rowOff>144236</xdr:rowOff>
    </xdr:to>
    <xdr:pic>
      <xdr:nvPicPr>
        <xdr:cNvPr id="9" name="8 Imagen" descr="https://www4.sii.cl/rfiInternet/images/F29V2/group_opened.png">
          <a:extLst>
            <a:ext uri="{FF2B5EF4-FFF2-40B4-BE49-F238E27FC236}">
              <a16:creationId xmlns:a16="http://schemas.microsoft.com/office/drawing/2014/main" id="{4DABE560-D02A-47E0-98B9-A5FAB448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210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48</xdr:row>
      <xdr:rowOff>0</xdr:rowOff>
    </xdr:from>
    <xdr:to>
      <xdr:col>19</xdr:col>
      <xdr:colOff>152400</xdr:colOff>
      <xdr:row>48</xdr:row>
      <xdr:rowOff>144236</xdr:rowOff>
    </xdr:to>
    <xdr:pic>
      <xdr:nvPicPr>
        <xdr:cNvPr id="10" name="9 Imagen" descr="https://www4.sii.cl/rfiInternet/images/F29V2/group_opened.png">
          <a:extLst>
            <a:ext uri="{FF2B5EF4-FFF2-40B4-BE49-F238E27FC236}">
              <a16:creationId xmlns:a16="http://schemas.microsoft.com/office/drawing/2014/main" id="{355EEEDB-379E-45CA-9EDB-D105B7BF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40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19</xdr:col>
      <xdr:colOff>152400</xdr:colOff>
      <xdr:row>56</xdr:row>
      <xdr:rowOff>144236</xdr:rowOff>
    </xdr:to>
    <xdr:pic>
      <xdr:nvPicPr>
        <xdr:cNvPr id="11" name="10 Imagen" descr="https://www4.sii.cl/rfiInternet/images/F29V2/group_opened.png">
          <a:extLst>
            <a:ext uri="{FF2B5EF4-FFF2-40B4-BE49-F238E27FC236}">
              <a16:creationId xmlns:a16="http://schemas.microsoft.com/office/drawing/2014/main" id="{78316FF6-8B9B-46EE-A2D7-641D65ED3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111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67</xdr:row>
      <xdr:rowOff>144236</xdr:rowOff>
    </xdr:to>
    <xdr:pic>
      <xdr:nvPicPr>
        <xdr:cNvPr id="12" name="11 Imagen" descr="https://www4.sii.cl/rfiInternet/images/F29V2/group_opened.png">
          <a:extLst>
            <a:ext uri="{FF2B5EF4-FFF2-40B4-BE49-F238E27FC236}">
              <a16:creationId xmlns:a16="http://schemas.microsoft.com/office/drawing/2014/main" id="{73F81518-F8FA-4A76-9FA9-2B16AEF23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321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105</xdr:row>
      <xdr:rowOff>0</xdr:rowOff>
    </xdr:from>
    <xdr:to>
      <xdr:col>19</xdr:col>
      <xdr:colOff>152400</xdr:colOff>
      <xdr:row>105</xdr:row>
      <xdr:rowOff>144236</xdr:rowOff>
    </xdr:to>
    <xdr:pic>
      <xdr:nvPicPr>
        <xdr:cNvPr id="13" name="14 Imagen" descr="https://www4.sii.cl/rfiInternet/images/F29V2/group_opened.png">
          <a:extLst>
            <a:ext uri="{FF2B5EF4-FFF2-40B4-BE49-F238E27FC236}">
              <a16:creationId xmlns:a16="http://schemas.microsoft.com/office/drawing/2014/main" id="{4794CDFE-C9ED-4882-A7A1-ACF0B5653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8313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119</xdr:row>
      <xdr:rowOff>0</xdr:rowOff>
    </xdr:from>
    <xdr:to>
      <xdr:col>19</xdr:col>
      <xdr:colOff>152400</xdr:colOff>
      <xdr:row>119</xdr:row>
      <xdr:rowOff>144236</xdr:rowOff>
    </xdr:to>
    <xdr:pic>
      <xdr:nvPicPr>
        <xdr:cNvPr id="14" name="15 Imagen" descr="https://www4.sii.cl/rfiInternet/images/F29V2/group_opened.png">
          <a:extLst>
            <a:ext uri="{FF2B5EF4-FFF2-40B4-BE49-F238E27FC236}">
              <a16:creationId xmlns:a16="http://schemas.microsoft.com/office/drawing/2014/main" id="{31AEFCFC-C023-409C-BA09-3CF570711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49174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135</xdr:row>
      <xdr:rowOff>0</xdr:rowOff>
    </xdr:from>
    <xdr:to>
      <xdr:col>19</xdr:col>
      <xdr:colOff>152400</xdr:colOff>
      <xdr:row>135</xdr:row>
      <xdr:rowOff>144236</xdr:rowOff>
    </xdr:to>
    <xdr:pic>
      <xdr:nvPicPr>
        <xdr:cNvPr id="15" name="17 Imagen" descr="https://www4.sii.cl/rfiInternet/images/F29V2/group_opened.png">
          <a:extLst>
            <a:ext uri="{FF2B5EF4-FFF2-40B4-BE49-F238E27FC236}">
              <a16:creationId xmlns:a16="http://schemas.microsoft.com/office/drawing/2014/main" id="{ABF97481-A5A2-4810-AB85-080436E6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80035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161</xdr:row>
      <xdr:rowOff>0</xdr:rowOff>
    </xdr:from>
    <xdr:to>
      <xdr:col>19</xdr:col>
      <xdr:colOff>152400</xdr:colOff>
      <xdr:row>161</xdr:row>
      <xdr:rowOff>144236</xdr:rowOff>
    </xdr:to>
    <xdr:pic>
      <xdr:nvPicPr>
        <xdr:cNvPr id="16" name="18 Imagen" descr="https://www4.sii.cl/rfiInternet/images/F29V2/group_opened.png">
          <a:extLst>
            <a:ext uri="{FF2B5EF4-FFF2-40B4-BE49-F238E27FC236}">
              <a16:creationId xmlns:a16="http://schemas.microsoft.com/office/drawing/2014/main" id="{6A326F80-5717-4ACC-982D-24418EF7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32708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1012031</xdr:colOff>
      <xdr:row>3</xdr:row>
      <xdr:rowOff>185077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FC7A77-B2B8-4C82-BE45-074BDF0C9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7565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19</xdr:col>
      <xdr:colOff>152400</xdr:colOff>
      <xdr:row>9</xdr:row>
      <xdr:rowOff>144236</xdr:rowOff>
    </xdr:to>
    <xdr:pic>
      <xdr:nvPicPr>
        <xdr:cNvPr id="2" name="1 Imagen" descr="https://www4.sii.cl/rfiInternet/images/F29V2/group_opened.png">
          <a:extLst>
            <a:ext uri="{FF2B5EF4-FFF2-40B4-BE49-F238E27FC236}">
              <a16:creationId xmlns:a16="http://schemas.microsoft.com/office/drawing/2014/main" id="{909271BB-E727-4089-A99A-47E75BCB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762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152400</xdr:colOff>
      <xdr:row>10</xdr:row>
      <xdr:rowOff>144236</xdr:rowOff>
    </xdr:to>
    <xdr:pic>
      <xdr:nvPicPr>
        <xdr:cNvPr id="3" name="2 Imagen" descr="https://www4.sii.cl/rfiInternet/images/F29V2/group_opened.png">
          <a:extLst>
            <a:ext uri="{FF2B5EF4-FFF2-40B4-BE49-F238E27FC236}">
              <a16:creationId xmlns:a16="http://schemas.microsoft.com/office/drawing/2014/main" id="{1CA6117D-9646-4B6C-9F67-BFF7D903C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9526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152400</xdr:colOff>
      <xdr:row>11</xdr:row>
      <xdr:rowOff>144236</xdr:rowOff>
    </xdr:to>
    <xdr:pic>
      <xdr:nvPicPr>
        <xdr:cNvPr id="4" name="3 Imagen" descr="https://www4.sii.cl/rfiInternet/images/F29V2/group_opened.png">
          <a:extLst>
            <a:ext uri="{FF2B5EF4-FFF2-40B4-BE49-F238E27FC236}">
              <a16:creationId xmlns:a16="http://schemas.microsoft.com/office/drawing/2014/main" id="{B016BD2E-42A7-4886-A007-A3C4971EF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43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152400</xdr:colOff>
      <xdr:row>19</xdr:row>
      <xdr:rowOff>144236</xdr:rowOff>
    </xdr:to>
    <xdr:pic>
      <xdr:nvPicPr>
        <xdr:cNvPr id="5" name="4 Imagen" descr="https://www4.sii.cl/rfiInternet/images/F29V2/group_opened.png">
          <a:extLst>
            <a:ext uri="{FF2B5EF4-FFF2-40B4-BE49-F238E27FC236}">
              <a16:creationId xmlns:a16="http://schemas.microsoft.com/office/drawing/2014/main" id="{D5443103-26E8-469E-BB16-3019F1F9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667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152400</xdr:colOff>
      <xdr:row>38</xdr:row>
      <xdr:rowOff>144236</xdr:rowOff>
    </xdr:to>
    <xdr:pic>
      <xdr:nvPicPr>
        <xdr:cNvPr id="6" name="5 Imagen" descr="https://www4.sii.cl/rfiInternet/images/F29V2/group_opened.png">
          <a:extLst>
            <a:ext uri="{FF2B5EF4-FFF2-40B4-BE49-F238E27FC236}">
              <a16:creationId xmlns:a16="http://schemas.microsoft.com/office/drawing/2014/main" id="{FE50D8FE-BA49-47FB-8344-03C7C14D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30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19</xdr:col>
      <xdr:colOff>152400</xdr:colOff>
      <xdr:row>39</xdr:row>
      <xdr:rowOff>144236</xdr:rowOff>
    </xdr:to>
    <xdr:pic>
      <xdr:nvPicPr>
        <xdr:cNvPr id="7" name="6 Imagen" descr="https://www4.sii.cl/rfiInternet/images/F29V2/group_opened.png">
          <a:extLst>
            <a:ext uri="{FF2B5EF4-FFF2-40B4-BE49-F238E27FC236}">
              <a16:creationId xmlns:a16="http://schemas.microsoft.com/office/drawing/2014/main" id="{48CF457B-543A-4245-B99D-B8AF2E760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496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152400</xdr:colOff>
      <xdr:row>42</xdr:row>
      <xdr:rowOff>144236</xdr:rowOff>
    </xdr:to>
    <xdr:pic>
      <xdr:nvPicPr>
        <xdr:cNvPr id="8" name="7 Imagen" descr="https://www4.sii.cl/rfiInternet/images/F29V2/group_opened.png">
          <a:extLst>
            <a:ext uri="{FF2B5EF4-FFF2-40B4-BE49-F238E27FC236}">
              <a16:creationId xmlns:a16="http://schemas.microsoft.com/office/drawing/2014/main" id="{C04CC24E-AD30-49CA-A970-A6F70531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8258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47</xdr:row>
      <xdr:rowOff>0</xdr:rowOff>
    </xdr:from>
    <xdr:to>
      <xdr:col>19</xdr:col>
      <xdr:colOff>152400</xdr:colOff>
      <xdr:row>47</xdr:row>
      <xdr:rowOff>144236</xdr:rowOff>
    </xdr:to>
    <xdr:pic>
      <xdr:nvPicPr>
        <xdr:cNvPr id="9" name="8 Imagen" descr="https://www4.sii.cl/rfiInternet/images/F29V2/group_opened.png">
          <a:extLst>
            <a:ext uri="{FF2B5EF4-FFF2-40B4-BE49-F238E27FC236}">
              <a16:creationId xmlns:a16="http://schemas.microsoft.com/office/drawing/2014/main" id="{003610B2-3936-417A-8A23-3B25D41E2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210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48</xdr:row>
      <xdr:rowOff>0</xdr:rowOff>
    </xdr:from>
    <xdr:to>
      <xdr:col>19</xdr:col>
      <xdr:colOff>152400</xdr:colOff>
      <xdr:row>48</xdr:row>
      <xdr:rowOff>144236</xdr:rowOff>
    </xdr:to>
    <xdr:pic>
      <xdr:nvPicPr>
        <xdr:cNvPr id="10" name="9 Imagen" descr="https://www4.sii.cl/rfiInternet/images/F29V2/group_opened.png">
          <a:extLst>
            <a:ext uri="{FF2B5EF4-FFF2-40B4-BE49-F238E27FC236}">
              <a16:creationId xmlns:a16="http://schemas.microsoft.com/office/drawing/2014/main" id="{8840FE16-07F1-400E-A690-BFB1893D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40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19</xdr:col>
      <xdr:colOff>152400</xdr:colOff>
      <xdr:row>56</xdr:row>
      <xdr:rowOff>144236</xdr:rowOff>
    </xdr:to>
    <xdr:pic>
      <xdr:nvPicPr>
        <xdr:cNvPr id="11" name="10 Imagen" descr="https://www4.sii.cl/rfiInternet/images/F29V2/group_opened.png">
          <a:extLst>
            <a:ext uri="{FF2B5EF4-FFF2-40B4-BE49-F238E27FC236}">
              <a16:creationId xmlns:a16="http://schemas.microsoft.com/office/drawing/2014/main" id="{96075886-528C-46DB-8C78-D830F3AC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111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67</xdr:row>
      <xdr:rowOff>144236</xdr:rowOff>
    </xdr:to>
    <xdr:pic>
      <xdr:nvPicPr>
        <xdr:cNvPr id="12" name="11 Imagen" descr="https://www4.sii.cl/rfiInternet/images/F29V2/group_opened.png">
          <a:extLst>
            <a:ext uri="{FF2B5EF4-FFF2-40B4-BE49-F238E27FC236}">
              <a16:creationId xmlns:a16="http://schemas.microsoft.com/office/drawing/2014/main" id="{7ECE0803-45E1-4199-859C-CCFF9B344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321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105</xdr:row>
      <xdr:rowOff>0</xdr:rowOff>
    </xdr:from>
    <xdr:to>
      <xdr:col>19</xdr:col>
      <xdr:colOff>152400</xdr:colOff>
      <xdr:row>105</xdr:row>
      <xdr:rowOff>144236</xdr:rowOff>
    </xdr:to>
    <xdr:pic>
      <xdr:nvPicPr>
        <xdr:cNvPr id="13" name="14 Imagen" descr="https://www4.sii.cl/rfiInternet/images/F29V2/group_opened.png">
          <a:extLst>
            <a:ext uri="{FF2B5EF4-FFF2-40B4-BE49-F238E27FC236}">
              <a16:creationId xmlns:a16="http://schemas.microsoft.com/office/drawing/2014/main" id="{E21C3EF3-0030-48F0-AAE4-9C06A74A8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8313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119</xdr:row>
      <xdr:rowOff>0</xdr:rowOff>
    </xdr:from>
    <xdr:to>
      <xdr:col>19</xdr:col>
      <xdr:colOff>152400</xdr:colOff>
      <xdr:row>119</xdr:row>
      <xdr:rowOff>144236</xdr:rowOff>
    </xdr:to>
    <xdr:pic>
      <xdr:nvPicPr>
        <xdr:cNvPr id="14" name="15 Imagen" descr="https://www4.sii.cl/rfiInternet/images/F29V2/group_opened.png">
          <a:extLst>
            <a:ext uri="{FF2B5EF4-FFF2-40B4-BE49-F238E27FC236}">
              <a16:creationId xmlns:a16="http://schemas.microsoft.com/office/drawing/2014/main" id="{752A3F6C-CBAB-413C-848F-5CFD2A75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49174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135</xdr:row>
      <xdr:rowOff>0</xdr:rowOff>
    </xdr:from>
    <xdr:to>
      <xdr:col>19</xdr:col>
      <xdr:colOff>152400</xdr:colOff>
      <xdr:row>135</xdr:row>
      <xdr:rowOff>144236</xdr:rowOff>
    </xdr:to>
    <xdr:pic>
      <xdr:nvPicPr>
        <xdr:cNvPr id="15" name="17 Imagen" descr="https://www4.sii.cl/rfiInternet/images/F29V2/group_opened.png">
          <a:extLst>
            <a:ext uri="{FF2B5EF4-FFF2-40B4-BE49-F238E27FC236}">
              <a16:creationId xmlns:a16="http://schemas.microsoft.com/office/drawing/2014/main" id="{88E61BB1-335A-4560-949F-3214CC2A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80035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161</xdr:row>
      <xdr:rowOff>0</xdr:rowOff>
    </xdr:from>
    <xdr:to>
      <xdr:col>19</xdr:col>
      <xdr:colOff>152400</xdr:colOff>
      <xdr:row>161</xdr:row>
      <xdr:rowOff>144236</xdr:rowOff>
    </xdr:to>
    <xdr:pic>
      <xdr:nvPicPr>
        <xdr:cNvPr id="16" name="18 Imagen" descr="https://www4.sii.cl/rfiInternet/images/F29V2/group_opened.png">
          <a:extLst>
            <a:ext uri="{FF2B5EF4-FFF2-40B4-BE49-F238E27FC236}">
              <a16:creationId xmlns:a16="http://schemas.microsoft.com/office/drawing/2014/main" id="{1A76EEC5-0891-4B67-BBA3-D830CF44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32708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881062</xdr:colOff>
      <xdr:row>3</xdr:row>
      <xdr:rowOff>185077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11BD1C-34CA-403E-A8A8-0EF5CD6FC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881" cy="756577"/>
        </a:xfrm>
        <a:prstGeom prst="rect">
          <a:avLst/>
        </a:prstGeom>
      </xdr:spPr>
    </xdr:pic>
    <xdr:clientData/>
  </xdr:twoCellAnchor>
  <xdr:twoCellAnchor editAs="oneCell">
    <xdr:from>
      <xdr:col>9</xdr:col>
      <xdr:colOff>583405</xdr:colOff>
      <xdr:row>21</xdr:row>
      <xdr:rowOff>95252</xdr:rowOff>
    </xdr:from>
    <xdr:to>
      <xdr:col>17</xdr:col>
      <xdr:colOff>534376</xdr:colOff>
      <xdr:row>29</xdr:row>
      <xdr:rowOff>143103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0C11EC-30F3-42D1-B15C-8CB48FC83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5936" y="4286252"/>
          <a:ext cx="7011378" cy="1619476"/>
        </a:xfrm>
        <a:prstGeom prst="rect">
          <a:avLst/>
        </a:prstGeom>
      </xdr:spPr>
    </xdr:pic>
    <xdr:clientData/>
  </xdr:twoCellAnchor>
  <xdr:twoCellAnchor editAs="oneCell">
    <xdr:from>
      <xdr:col>8</xdr:col>
      <xdr:colOff>270609</xdr:colOff>
      <xdr:row>0</xdr:row>
      <xdr:rowOff>0</xdr:rowOff>
    </xdr:from>
    <xdr:to>
      <xdr:col>25</xdr:col>
      <xdr:colOff>302651</xdr:colOff>
      <xdr:row>13</xdr:row>
      <xdr:rowOff>188073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5957D2-0DE5-4BC4-AF94-992192271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43047" y="0"/>
          <a:ext cx="13843292" cy="2759823"/>
        </a:xfrm>
        <a:prstGeom prst="rect">
          <a:avLst/>
        </a:prstGeom>
      </xdr:spPr>
    </xdr:pic>
    <xdr:clientData/>
  </xdr:twoCellAnchor>
  <xdr:twoCellAnchor editAs="oneCell">
    <xdr:from>
      <xdr:col>8</xdr:col>
      <xdr:colOff>380999</xdr:colOff>
      <xdr:row>14</xdr:row>
      <xdr:rowOff>166687</xdr:rowOff>
    </xdr:from>
    <xdr:to>
      <xdr:col>21</xdr:col>
      <xdr:colOff>283866</xdr:colOff>
      <xdr:row>20</xdr:row>
      <xdr:rowOff>106594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FBEED9-B4DD-46D0-86D5-F6BA3AB67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53437" y="2940843"/>
          <a:ext cx="10713742" cy="115434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63</xdr:row>
      <xdr:rowOff>219296</xdr:rowOff>
    </xdr:from>
    <xdr:to>
      <xdr:col>12</xdr:col>
      <xdr:colOff>205980</xdr:colOff>
      <xdr:row>71</xdr:row>
      <xdr:rowOff>59531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8490A3-70AF-F1EC-C2B3-F071D7479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50" y="15364046"/>
          <a:ext cx="7325918" cy="141186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71438</xdr:colOff>
      <xdr:row>72</xdr:row>
      <xdr:rowOff>47625</xdr:rowOff>
    </xdr:from>
    <xdr:to>
      <xdr:col>12</xdr:col>
      <xdr:colOff>166687</xdr:colOff>
      <xdr:row>80</xdr:row>
      <xdr:rowOff>109390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EECBAA-538B-A904-844C-CB4E1CA37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09938" y="14001750"/>
          <a:ext cx="7310437" cy="158576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19</xdr:col>
      <xdr:colOff>152400</xdr:colOff>
      <xdr:row>9</xdr:row>
      <xdr:rowOff>144236</xdr:rowOff>
    </xdr:to>
    <xdr:pic>
      <xdr:nvPicPr>
        <xdr:cNvPr id="2" name="1 Imagen" descr="https://www4.sii.cl/rfiInternet/images/F29V2/group_opened.png">
          <a:extLst>
            <a:ext uri="{FF2B5EF4-FFF2-40B4-BE49-F238E27FC236}">
              <a16:creationId xmlns:a16="http://schemas.microsoft.com/office/drawing/2014/main" id="{D50CD930-B9ED-41DB-AC6A-DC55B3FAF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762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152400</xdr:colOff>
      <xdr:row>10</xdr:row>
      <xdr:rowOff>144236</xdr:rowOff>
    </xdr:to>
    <xdr:pic>
      <xdr:nvPicPr>
        <xdr:cNvPr id="3" name="2 Imagen" descr="https://www4.sii.cl/rfiInternet/images/F29V2/group_opened.png">
          <a:extLst>
            <a:ext uri="{FF2B5EF4-FFF2-40B4-BE49-F238E27FC236}">
              <a16:creationId xmlns:a16="http://schemas.microsoft.com/office/drawing/2014/main" id="{ACEA31BF-AFE3-49B1-980D-64526B6C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9526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152400</xdr:colOff>
      <xdr:row>11</xdr:row>
      <xdr:rowOff>144236</xdr:rowOff>
    </xdr:to>
    <xdr:pic>
      <xdr:nvPicPr>
        <xdr:cNvPr id="4" name="3 Imagen" descr="https://www4.sii.cl/rfiInternet/images/F29V2/group_opened.png">
          <a:extLst>
            <a:ext uri="{FF2B5EF4-FFF2-40B4-BE49-F238E27FC236}">
              <a16:creationId xmlns:a16="http://schemas.microsoft.com/office/drawing/2014/main" id="{DB68FAD8-6ECF-44EE-BBC3-C923652F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43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152400</xdr:colOff>
      <xdr:row>19</xdr:row>
      <xdr:rowOff>144236</xdr:rowOff>
    </xdr:to>
    <xdr:pic>
      <xdr:nvPicPr>
        <xdr:cNvPr id="5" name="4 Imagen" descr="https://www4.sii.cl/rfiInternet/images/F29V2/group_opened.png">
          <a:extLst>
            <a:ext uri="{FF2B5EF4-FFF2-40B4-BE49-F238E27FC236}">
              <a16:creationId xmlns:a16="http://schemas.microsoft.com/office/drawing/2014/main" id="{215F960F-F861-42E9-B217-D0B4A8CD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667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152400</xdr:colOff>
      <xdr:row>38</xdr:row>
      <xdr:rowOff>144236</xdr:rowOff>
    </xdr:to>
    <xdr:pic>
      <xdr:nvPicPr>
        <xdr:cNvPr id="6" name="5 Imagen" descr="https://www4.sii.cl/rfiInternet/images/F29V2/group_opened.png">
          <a:extLst>
            <a:ext uri="{FF2B5EF4-FFF2-40B4-BE49-F238E27FC236}">
              <a16:creationId xmlns:a16="http://schemas.microsoft.com/office/drawing/2014/main" id="{824A1E05-7545-42E6-9AF4-E3A5577B3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30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19</xdr:col>
      <xdr:colOff>152400</xdr:colOff>
      <xdr:row>39</xdr:row>
      <xdr:rowOff>144236</xdr:rowOff>
    </xdr:to>
    <xdr:pic>
      <xdr:nvPicPr>
        <xdr:cNvPr id="7" name="6 Imagen" descr="https://www4.sii.cl/rfiInternet/images/F29V2/group_opened.png">
          <a:extLst>
            <a:ext uri="{FF2B5EF4-FFF2-40B4-BE49-F238E27FC236}">
              <a16:creationId xmlns:a16="http://schemas.microsoft.com/office/drawing/2014/main" id="{C0DE0294-F981-4C30-9490-BA7AD7ED7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496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152400</xdr:colOff>
      <xdr:row>42</xdr:row>
      <xdr:rowOff>144236</xdr:rowOff>
    </xdr:to>
    <xdr:pic>
      <xdr:nvPicPr>
        <xdr:cNvPr id="8" name="7 Imagen" descr="https://www4.sii.cl/rfiInternet/images/F29V2/group_opened.png">
          <a:extLst>
            <a:ext uri="{FF2B5EF4-FFF2-40B4-BE49-F238E27FC236}">
              <a16:creationId xmlns:a16="http://schemas.microsoft.com/office/drawing/2014/main" id="{CA24FEE9-DCC3-4D9B-8529-1D6C6D3F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8258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47</xdr:row>
      <xdr:rowOff>0</xdr:rowOff>
    </xdr:from>
    <xdr:to>
      <xdr:col>19</xdr:col>
      <xdr:colOff>152400</xdr:colOff>
      <xdr:row>47</xdr:row>
      <xdr:rowOff>144236</xdr:rowOff>
    </xdr:to>
    <xdr:pic>
      <xdr:nvPicPr>
        <xdr:cNvPr id="9" name="8 Imagen" descr="https://www4.sii.cl/rfiInternet/images/F29V2/group_opened.png">
          <a:extLst>
            <a:ext uri="{FF2B5EF4-FFF2-40B4-BE49-F238E27FC236}">
              <a16:creationId xmlns:a16="http://schemas.microsoft.com/office/drawing/2014/main" id="{6471DD9B-2A42-46CC-A2A7-351055BF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210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48</xdr:row>
      <xdr:rowOff>0</xdr:rowOff>
    </xdr:from>
    <xdr:to>
      <xdr:col>19</xdr:col>
      <xdr:colOff>152400</xdr:colOff>
      <xdr:row>48</xdr:row>
      <xdr:rowOff>144236</xdr:rowOff>
    </xdr:to>
    <xdr:pic>
      <xdr:nvPicPr>
        <xdr:cNvPr id="10" name="9 Imagen" descr="https://www4.sii.cl/rfiInternet/images/F29V2/group_opened.png">
          <a:extLst>
            <a:ext uri="{FF2B5EF4-FFF2-40B4-BE49-F238E27FC236}">
              <a16:creationId xmlns:a16="http://schemas.microsoft.com/office/drawing/2014/main" id="{C6D311BD-962C-40E0-BD5A-CCCBB5DB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40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19</xdr:col>
      <xdr:colOff>152400</xdr:colOff>
      <xdr:row>56</xdr:row>
      <xdr:rowOff>144236</xdr:rowOff>
    </xdr:to>
    <xdr:pic>
      <xdr:nvPicPr>
        <xdr:cNvPr id="11" name="10 Imagen" descr="https://www4.sii.cl/rfiInternet/images/F29V2/group_opened.png">
          <a:extLst>
            <a:ext uri="{FF2B5EF4-FFF2-40B4-BE49-F238E27FC236}">
              <a16:creationId xmlns:a16="http://schemas.microsoft.com/office/drawing/2014/main" id="{00E64DAE-26F8-4A78-A55B-03C8E70E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111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67</xdr:row>
      <xdr:rowOff>144236</xdr:rowOff>
    </xdr:to>
    <xdr:pic>
      <xdr:nvPicPr>
        <xdr:cNvPr id="12" name="11 Imagen" descr="https://www4.sii.cl/rfiInternet/images/F29V2/group_opened.png">
          <a:extLst>
            <a:ext uri="{FF2B5EF4-FFF2-40B4-BE49-F238E27FC236}">
              <a16:creationId xmlns:a16="http://schemas.microsoft.com/office/drawing/2014/main" id="{28FA4926-09B0-4BB9-BD4D-515713C93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321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105</xdr:row>
      <xdr:rowOff>0</xdr:rowOff>
    </xdr:from>
    <xdr:to>
      <xdr:col>19</xdr:col>
      <xdr:colOff>152400</xdr:colOff>
      <xdr:row>105</xdr:row>
      <xdr:rowOff>144236</xdr:rowOff>
    </xdr:to>
    <xdr:pic>
      <xdr:nvPicPr>
        <xdr:cNvPr id="13" name="14 Imagen" descr="https://www4.sii.cl/rfiInternet/images/F29V2/group_opened.png">
          <a:extLst>
            <a:ext uri="{FF2B5EF4-FFF2-40B4-BE49-F238E27FC236}">
              <a16:creationId xmlns:a16="http://schemas.microsoft.com/office/drawing/2014/main" id="{986353D1-1A76-4402-8E98-5E4E7076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8313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119</xdr:row>
      <xdr:rowOff>0</xdr:rowOff>
    </xdr:from>
    <xdr:to>
      <xdr:col>19</xdr:col>
      <xdr:colOff>152400</xdr:colOff>
      <xdr:row>119</xdr:row>
      <xdr:rowOff>144236</xdr:rowOff>
    </xdr:to>
    <xdr:pic>
      <xdr:nvPicPr>
        <xdr:cNvPr id="14" name="15 Imagen" descr="https://www4.sii.cl/rfiInternet/images/F29V2/group_opened.png">
          <a:extLst>
            <a:ext uri="{FF2B5EF4-FFF2-40B4-BE49-F238E27FC236}">
              <a16:creationId xmlns:a16="http://schemas.microsoft.com/office/drawing/2014/main" id="{C9FAF954-B16D-419F-A59A-925F60AA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49174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135</xdr:row>
      <xdr:rowOff>0</xdr:rowOff>
    </xdr:from>
    <xdr:to>
      <xdr:col>19</xdr:col>
      <xdr:colOff>152400</xdr:colOff>
      <xdr:row>135</xdr:row>
      <xdr:rowOff>144236</xdr:rowOff>
    </xdr:to>
    <xdr:pic>
      <xdr:nvPicPr>
        <xdr:cNvPr id="15" name="17 Imagen" descr="https://www4.sii.cl/rfiInternet/images/F29V2/group_opened.png">
          <a:extLst>
            <a:ext uri="{FF2B5EF4-FFF2-40B4-BE49-F238E27FC236}">
              <a16:creationId xmlns:a16="http://schemas.microsoft.com/office/drawing/2014/main" id="{DBA60FEF-BDF9-4003-A3D0-6C9F84B52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80035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161</xdr:row>
      <xdr:rowOff>0</xdr:rowOff>
    </xdr:from>
    <xdr:to>
      <xdr:col>19</xdr:col>
      <xdr:colOff>152400</xdr:colOff>
      <xdr:row>161</xdr:row>
      <xdr:rowOff>144236</xdr:rowOff>
    </xdr:to>
    <xdr:pic>
      <xdr:nvPicPr>
        <xdr:cNvPr id="16" name="18 Imagen" descr="https://www4.sii.cl/rfiInternet/images/F29V2/group_opened.png">
          <a:extLst>
            <a:ext uri="{FF2B5EF4-FFF2-40B4-BE49-F238E27FC236}">
              <a16:creationId xmlns:a16="http://schemas.microsoft.com/office/drawing/2014/main" id="{8BC4BA91-B54C-4C6B-B520-FF26328F2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32708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19</xdr:col>
      <xdr:colOff>152400</xdr:colOff>
      <xdr:row>9</xdr:row>
      <xdr:rowOff>144236</xdr:rowOff>
    </xdr:to>
    <xdr:pic>
      <xdr:nvPicPr>
        <xdr:cNvPr id="2" name="1 Imagen" descr="https://www4.sii.cl/rfiInternet/images/F29V2/group_opened.png">
          <a:extLst>
            <a:ext uri="{FF2B5EF4-FFF2-40B4-BE49-F238E27FC236}">
              <a16:creationId xmlns:a16="http://schemas.microsoft.com/office/drawing/2014/main" id="{D8CED8C7-31E3-4D51-865E-2F9A0DEC7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762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152400</xdr:colOff>
      <xdr:row>10</xdr:row>
      <xdr:rowOff>144236</xdr:rowOff>
    </xdr:to>
    <xdr:pic>
      <xdr:nvPicPr>
        <xdr:cNvPr id="3" name="2 Imagen" descr="https://www4.sii.cl/rfiInternet/images/F29V2/group_opened.png">
          <a:extLst>
            <a:ext uri="{FF2B5EF4-FFF2-40B4-BE49-F238E27FC236}">
              <a16:creationId xmlns:a16="http://schemas.microsoft.com/office/drawing/2014/main" id="{1C06E96D-5312-4E32-A2BB-36923532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9526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152400</xdr:colOff>
      <xdr:row>11</xdr:row>
      <xdr:rowOff>144236</xdr:rowOff>
    </xdr:to>
    <xdr:pic>
      <xdr:nvPicPr>
        <xdr:cNvPr id="4" name="3 Imagen" descr="https://www4.sii.cl/rfiInternet/images/F29V2/group_opened.png">
          <a:extLst>
            <a:ext uri="{FF2B5EF4-FFF2-40B4-BE49-F238E27FC236}">
              <a16:creationId xmlns:a16="http://schemas.microsoft.com/office/drawing/2014/main" id="{EFA6E420-0328-4F22-8808-58EBAC4A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43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152400</xdr:colOff>
      <xdr:row>19</xdr:row>
      <xdr:rowOff>144236</xdr:rowOff>
    </xdr:to>
    <xdr:pic>
      <xdr:nvPicPr>
        <xdr:cNvPr id="5" name="4 Imagen" descr="https://www4.sii.cl/rfiInternet/images/F29V2/group_opened.png">
          <a:extLst>
            <a:ext uri="{FF2B5EF4-FFF2-40B4-BE49-F238E27FC236}">
              <a16:creationId xmlns:a16="http://schemas.microsoft.com/office/drawing/2014/main" id="{823F346B-6D52-4377-8146-ACD3ED94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667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152400</xdr:colOff>
      <xdr:row>38</xdr:row>
      <xdr:rowOff>144236</xdr:rowOff>
    </xdr:to>
    <xdr:pic>
      <xdr:nvPicPr>
        <xdr:cNvPr id="6" name="5 Imagen" descr="https://www4.sii.cl/rfiInternet/images/F29V2/group_opened.png">
          <a:extLst>
            <a:ext uri="{FF2B5EF4-FFF2-40B4-BE49-F238E27FC236}">
              <a16:creationId xmlns:a16="http://schemas.microsoft.com/office/drawing/2014/main" id="{39AC72AC-0285-454E-8F6E-2BBB87A1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30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19</xdr:col>
      <xdr:colOff>152400</xdr:colOff>
      <xdr:row>39</xdr:row>
      <xdr:rowOff>144236</xdr:rowOff>
    </xdr:to>
    <xdr:pic>
      <xdr:nvPicPr>
        <xdr:cNvPr id="7" name="6 Imagen" descr="https://www4.sii.cl/rfiInternet/images/F29V2/group_opened.png">
          <a:extLst>
            <a:ext uri="{FF2B5EF4-FFF2-40B4-BE49-F238E27FC236}">
              <a16:creationId xmlns:a16="http://schemas.microsoft.com/office/drawing/2014/main" id="{B030CDA4-2FD2-4535-BA35-FDFC2910F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496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152400</xdr:colOff>
      <xdr:row>42</xdr:row>
      <xdr:rowOff>144236</xdr:rowOff>
    </xdr:to>
    <xdr:pic>
      <xdr:nvPicPr>
        <xdr:cNvPr id="8" name="7 Imagen" descr="https://www4.sii.cl/rfiInternet/images/F29V2/group_opened.png">
          <a:extLst>
            <a:ext uri="{FF2B5EF4-FFF2-40B4-BE49-F238E27FC236}">
              <a16:creationId xmlns:a16="http://schemas.microsoft.com/office/drawing/2014/main" id="{03331B71-BBFA-4834-9668-739B08A6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8258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47</xdr:row>
      <xdr:rowOff>0</xdr:rowOff>
    </xdr:from>
    <xdr:to>
      <xdr:col>19</xdr:col>
      <xdr:colOff>152400</xdr:colOff>
      <xdr:row>47</xdr:row>
      <xdr:rowOff>144236</xdr:rowOff>
    </xdr:to>
    <xdr:pic>
      <xdr:nvPicPr>
        <xdr:cNvPr id="9" name="8 Imagen" descr="https://www4.sii.cl/rfiInternet/images/F29V2/group_opened.png">
          <a:extLst>
            <a:ext uri="{FF2B5EF4-FFF2-40B4-BE49-F238E27FC236}">
              <a16:creationId xmlns:a16="http://schemas.microsoft.com/office/drawing/2014/main" id="{F6DD2EBB-87C6-4B76-9F29-60AF9EA5A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210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48</xdr:row>
      <xdr:rowOff>0</xdr:rowOff>
    </xdr:from>
    <xdr:to>
      <xdr:col>19</xdr:col>
      <xdr:colOff>152400</xdr:colOff>
      <xdr:row>48</xdr:row>
      <xdr:rowOff>144236</xdr:rowOff>
    </xdr:to>
    <xdr:pic>
      <xdr:nvPicPr>
        <xdr:cNvPr id="10" name="9 Imagen" descr="https://www4.sii.cl/rfiInternet/images/F29V2/group_opened.png">
          <a:extLst>
            <a:ext uri="{FF2B5EF4-FFF2-40B4-BE49-F238E27FC236}">
              <a16:creationId xmlns:a16="http://schemas.microsoft.com/office/drawing/2014/main" id="{AE2D6BFD-38D1-4FC3-AA00-5D16CD913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40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19</xdr:col>
      <xdr:colOff>152400</xdr:colOff>
      <xdr:row>56</xdr:row>
      <xdr:rowOff>144236</xdr:rowOff>
    </xdr:to>
    <xdr:pic>
      <xdr:nvPicPr>
        <xdr:cNvPr id="11" name="10 Imagen" descr="https://www4.sii.cl/rfiInternet/images/F29V2/group_opened.png">
          <a:extLst>
            <a:ext uri="{FF2B5EF4-FFF2-40B4-BE49-F238E27FC236}">
              <a16:creationId xmlns:a16="http://schemas.microsoft.com/office/drawing/2014/main" id="{EFEDF93A-FAE2-4C31-B5A7-F16C7CE81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111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67</xdr:row>
      <xdr:rowOff>144236</xdr:rowOff>
    </xdr:to>
    <xdr:pic>
      <xdr:nvPicPr>
        <xdr:cNvPr id="12" name="11 Imagen" descr="https://www4.sii.cl/rfiInternet/images/F29V2/group_opened.png">
          <a:extLst>
            <a:ext uri="{FF2B5EF4-FFF2-40B4-BE49-F238E27FC236}">
              <a16:creationId xmlns:a16="http://schemas.microsoft.com/office/drawing/2014/main" id="{E97450D5-84AB-4F96-BE6A-4A9AB123A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321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105</xdr:row>
      <xdr:rowOff>0</xdr:rowOff>
    </xdr:from>
    <xdr:to>
      <xdr:col>19</xdr:col>
      <xdr:colOff>152400</xdr:colOff>
      <xdr:row>105</xdr:row>
      <xdr:rowOff>144236</xdr:rowOff>
    </xdr:to>
    <xdr:pic>
      <xdr:nvPicPr>
        <xdr:cNvPr id="13" name="14 Imagen" descr="https://www4.sii.cl/rfiInternet/images/F29V2/group_opened.png">
          <a:extLst>
            <a:ext uri="{FF2B5EF4-FFF2-40B4-BE49-F238E27FC236}">
              <a16:creationId xmlns:a16="http://schemas.microsoft.com/office/drawing/2014/main" id="{11A36324-C9D7-4BF6-AD06-E543D4ED7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8313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119</xdr:row>
      <xdr:rowOff>0</xdr:rowOff>
    </xdr:from>
    <xdr:to>
      <xdr:col>19</xdr:col>
      <xdr:colOff>152400</xdr:colOff>
      <xdr:row>119</xdr:row>
      <xdr:rowOff>144236</xdr:rowOff>
    </xdr:to>
    <xdr:pic>
      <xdr:nvPicPr>
        <xdr:cNvPr id="14" name="15 Imagen" descr="https://www4.sii.cl/rfiInternet/images/F29V2/group_opened.png">
          <a:extLst>
            <a:ext uri="{FF2B5EF4-FFF2-40B4-BE49-F238E27FC236}">
              <a16:creationId xmlns:a16="http://schemas.microsoft.com/office/drawing/2014/main" id="{FB840CAC-82BD-484D-9220-A565B608E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49174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135</xdr:row>
      <xdr:rowOff>0</xdr:rowOff>
    </xdr:from>
    <xdr:to>
      <xdr:col>19</xdr:col>
      <xdr:colOff>152400</xdr:colOff>
      <xdr:row>135</xdr:row>
      <xdr:rowOff>144236</xdr:rowOff>
    </xdr:to>
    <xdr:pic>
      <xdr:nvPicPr>
        <xdr:cNvPr id="15" name="17 Imagen" descr="https://www4.sii.cl/rfiInternet/images/F29V2/group_opened.png">
          <a:extLst>
            <a:ext uri="{FF2B5EF4-FFF2-40B4-BE49-F238E27FC236}">
              <a16:creationId xmlns:a16="http://schemas.microsoft.com/office/drawing/2014/main" id="{DA80AA57-410F-49E4-8088-6BBA84B0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80035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161</xdr:row>
      <xdr:rowOff>0</xdr:rowOff>
    </xdr:from>
    <xdr:to>
      <xdr:col>19</xdr:col>
      <xdr:colOff>152400</xdr:colOff>
      <xdr:row>161</xdr:row>
      <xdr:rowOff>144236</xdr:rowOff>
    </xdr:to>
    <xdr:pic>
      <xdr:nvPicPr>
        <xdr:cNvPr id="16" name="18 Imagen" descr="https://www4.sii.cl/rfiInternet/images/F29V2/group_opened.png">
          <a:extLst>
            <a:ext uri="{FF2B5EF4-FFF2-40B4-BE49-F238E27FC236}">
              <a16:creationId xmlns:a16="http://schemas.microsoft.com/office/drawing/2014/main" id="{22FE629A-8F06-4692-AC2A-F678E044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32708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1952625</xdr:colOff>
      <xdr:row>3</xdr:row>
      <xdr:rowOff>42202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36205A-149B-498D-9FF9-C12C0EC72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881" cy="756577"/>
        </a:xfrm>
        <a:prstGeom prst="rect">
          <a:avLst/>
        </a:prstGeom>
      </xdr:spPr>
    </xdr:pic>
    <xdr:clientData/>
  </xdr:twoCellAnchor>
  <xdr:twoCellAnchor editAs="oneCell">
    <xdr:from>
      <xdr:col>13</xdr:col>
      <xdr:colOff>95249</xdr:colOff>
      <xdr:row>18</xdr:row>
      <xdr:rowOff>95250</xdr:rowOff>
    </xdr:from>
    <xdr:to>
      <xdr:col>28</xdr:col>
      <xdr:colOff>318403</xdr:colOff>
      <xdr:row>41</xdr:row>
      <xdr:rowOff>10284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1CB483-C8BB-2653-9B1E-49D9D2A89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73374" y="4452938"/>
          <a:ext cx="12165123" cy="5439534"/>
        </a:xfrm>
        <a:prstGeom prst="rect">
          <a:avLst/>
        </a:prstGeom>
      </xdr:spPr>
    </xdr:pic>
    <xdr:clientData/>
  </xdr:twoCellAnchor>
  <xdr:twoCellAnchor>
    <xdr:from>
      <xdr:col>2</xdr:col>
      <xdr:colOff>428625</xdr:colOff>
      <xdr:row>65</xdr:row>
      <xdr:rowOff>11906</xdr:rowOff>
    </xdr:from>
    <xdr:to>
      <xdr:col>2</xdr:col>
      <xdr:colOff>1214437</xdr:colOff>
      <xdr:row>66</xdr:row>
      <xdr:rowOff>23812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176EBECA-32F1-5DB7-60A7-E70CDA875A69}"/>
            </a:ext>
          </a:extLst>
        </xdr:cNvPr>
        <xdr:cNvSpPr/>
      </xdr:nvSpPr>
      <xdr:spPr>
        <a:xfrm>
          <a:off x="4524375" y="15704344"/>
          <a:ext cx="785812" cy="250031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19</xdr:col>
      <xdr:colOff>152400</xdr:colOff>
      <xdr:row>9</xdr:row>
      <xdr:rowOff>144236</xdr:rowOff>
    </xdr:to>
    <xdr:pic>
      <xdr:nvPicPr>
        <xdr:cNvPr id="2" name="1 Imagen" descr="https://www4.sii.cl/rfiInternet/images/F29V2/group_opened.png">
          <a:extLst>
            <a:ext uri="{FF2B5EF4-FFF2-40B4-BE49-F238E27FC236}">
              <a16:creationId xmlns:a16="http://schemas.microsoft.com/office/drawing/2014/main" id="{F97028F8-B19E-4809-BB66-E8862BB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762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152400</xdr:colOff>
      <xdr:row>10</xdr:row>
      <xdr:rowOff>144236</xdr:rowOff>
    </xdr:to>
    <xdr:pic>
      <xdr:nvPicPr>
        <xdr:cNvPr id="3" name="2 Imagen" descr="https://www4.sii.cl/rfiInternet/images/F29V2/group_opened.png">
          <a:extLst>
            <a:ext uri="{FF2B5EF4-FFF2-40B4-BE49-F238E27FC236}">
              <a16:creationId xmlns:a16="http://schemas.microsoft.com/office/drawing/2014/main" id="{2DD35ABA-E687-42A2-AFD7-E7576AA0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9526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152400</xdr:colOff>
      <xdr:row>11</xdr:row>
      <xdr:rowOff>144236</xdr:rowOff>
    </xdr:to>
    <xdr:pic>
      <xdr:nvPicPr>
        <xdr:cNvPr id="4" name="3 Imagen" descr="https://www4.sii.cl/rfiInternet/images/F29V2/group_opened.png">
          <a:extLst>
            <a:ext uri="{FF2B5EF4-FFF2-40B4-BE49-F238E27FC236}">
              <a16:creationId xmlns:a16="http://schemas.microsoft.com/office/drawing/2014/main" id="{8DAE7FBE-85CD-43E6-95B7-DABF83F8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43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152400</xdr:colOff>
      <xdr:row>19</xdr:row>
      <xdr:rowOff>144236</xdr:rowOff>
    </xdr:to>
    <xdr:pic>
      <xdr:nvPicPr>
        <xdr:cNvPr id="5" name="4 Imagen" descr="https://www4.sii.cl/rfiInternet/images/F29V2/group_opened.png">
          <a:extLst>
            <a:ext uri="{FF2B5EF4-FFF2-40B4-BE49-F238E27FC236}">
              <a16:creationId xmlns:a16="http://schemas.microsoft.com/office/drawing/2014/main" id="{25F8EE9E-0C0F-4B55-B473-B8DFCA279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667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152400</xdr:colOff>
      <xdr:row>38</xdr:row>
      <xdr:rowOff>144236</xdr:rowOff>
    </xdr:to>
    <xdr:pic>
      <xdr:nvPicPr>
        <xdr:cNvPr id="6" name="5 Imagen" descr="https://www4.sii.cl/rfiInternet/images/F29V2/group_opened.png">
          <a:extLst>
            <a:ext uri="{FF2B5EF4-FFF2-40B4-BE49-F238E27FC236}">
              <a16:creationId xmlns:a16="http://schemas.microsoft.com/office/drawing/2014/main" id="{D9720B54-6A4F-42C8-AF2F-463B81B07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30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19</xdr:col>
      <xdr:colOff>152400</xdr:colOff>
      <xdr:row>39</xdr:row>
      <xdr:rowOff>144236</xdr:rowOff>
    </xdr:to>
    <xdr:pic>
      <xdr:nvPicPr>
        <xdr:cNvPr id="7" name="6 Imagen" descr="https://www4.sii.cl/rfiInternet/images/F29V2/group_opened.png">
          <a:extLst>
            <a:ext uri="{FF2B5EF4-FFF2-40B4-BE49-F238E27FC236}">
              <a16:creationId xmlns:a16="http://schemas.microsoft.com/office/drawing/2014/main" id="{EFA64BC4-54CE-4E4B-B450-B6507C60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496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152400</xdr:colOff>
      <xdr:row>42</xdr:row>
      <xdr:rowOff>144236</xdr:rowOff>
    </xdr:to>
    <xdr:pic>
      <xdr:nvPicPr>
        <xdr:cNvPr id="8" name="7 Imagen" descr="https://www4.sii.cl/rfiInternet/images/F29V2/group_opened.png">
          <a:extLst>
            <a:ext uri="{FF2B5EF4-FFF2-40B4-BE49-F238E27FC236}">
              <a16:creationId xmlns:a16="http://schemas.microsoft.com/office/drawing/2014/main" id="{D684030D-BDE0-41A4-ABF1-7F90DA7E2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8258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47</xdr:row>
      <xdr:rowOff>0</xdr:rowOff>
    </xdr:from>
    <xdr:to>
      <xdr:col>19</xdr:col>
      <xdr:colOff>152400</xdr:colOff>
      <xdr:row>47</xdr:row>
      <xdr:rowOff>144236</xdr:rowOff>
    </xdr:to>
    <xdr:pic>
      <xdr:nvPicPr>
        <xdr:cNvPr id="9" name="8 Imagen" descr="https://www4.sii.cl/rfiInternet/images/F29V2/group_opened.png">
          <a:extLst>
            <a:ext uri="{FF2B5EF4-FFF2-40B4-BE49-F238E27FC236}">
              <a16:creationId xmlns:a16="http://schemas.microsoft.com/office/drawing/2014/main" id="{C6BB38A3-D67D-4397-B28E-EBE9AFD6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210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48</xdr:row>
      <xdr:rowOff>0</xdr:rowOff>
    </xdr:from>
    <xdr:to>
      <xdr:col>19</xdr:col>
      <xdr:colOff>152400</xdr:colOff>
      <xdr:row>48</xdr:row>
      <xdr:rowOff>144236</xdr:rowOff>
    </xdr:to>
    <xdr:pic>
      <xdr:nvPicPr>
        <xdr:cNvPr id="10" name="9 Imagen" descr="https://www4.sii.cl/rfiInternet/images/F29V2/group_opened.png">
          <a:extLst>
            <a:ext uri="{FF2B5EF4-FFF2-40B4-BE49-F238E27FC236}">
              <a16:creationId xmlns:a16="http://schemas.microsoft.com/office/drawing/2014/main" id="{8DB7CB05-D2A4-47A2-9BDC-4E7F5191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40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19</xdr:col>
      <xdr:colOff>152400</xdr:colOff>
      <xdr:row>56</xdr:row>
      <xdr:rowOff>144236</xdr:rowOff>
    </xdr:to>
    <xdr:pic>
      <xdr:nvPicPr>
        <xdr:cNvPr id="11" name="10 Imagen" descr="https://www4.sii.cl/rfiInternet/images/F29V2/group_opened.png">
          <a:extLst>
            <a:ext uri="{FF2B5EF4-FFF2-40B4-BE49-F238E27FC236}">
              <a16:creationId xmlns:a16="http://schemas.microsoft.com/office/drawing/2014/main" id="{601F5EA1-C307-453A-9EAC-45B3DDB4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111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67</xdr:row>
      <xdr:rowOff>144236</xdr:rowOff>
    </xdr:to>
    <xdr:pic>
      <xdr:nvPicPr>
        <xdr:cNvPr id="12" name="11 Imagen" descr="https://www4.sii.cl/rfiInternet/images/F29V2/group_opened.png">
          <a:extLst>
            <a:ext uri="{FF2B5EF4-FFF2-40B4-BE49-F238E27FC236}">
              <a16:creationId xmlns:a16="http://schemas.microsoft.com/office/drawing/2014/main" id="{CDA557F3-2D0C-4115-8642-F2028461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321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105</xdr:row>
      <xdr:rowOff>0</xdr:rowOff>
    </xdr:from>
    <xdr:to>
      <xdr:col>19</xdr:col>
      <xdr:colOff>152400</xdr:colOff>
      <xdr:row>105</xdr:row>
      <xdr:rowOff>144236</xdr:rowOff>
    </xdr:to>
    <xdr:pic>
      <xdr:nvPicPr>
        <xdr:cNvPr id="13" name="14 Imagen" descr="https://www4.sii.cl/rfiInternet/images/F29V2/group_opened.png">
          <a:extLst>
            <a:ext uri="{FF2B5EF4-FFF2-40B4-BE49-F238E27FC236}">
              <a16:creationId xmlns:a16="http://schemas.microsoft.com/office/drawing/2014/main" id="{C1F731EC-DDEF-4996-AB84-50D85B38B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8313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119</xdr:row>
      <xdr:rowOff>0</xdr:rowOff>
    </xdr:from>
    <xdr:to>
      <xdr:col>19</xdr:col>
      <xdr:colOff>152400</xdr:colOff>
      <xdr:row>119</xdr:row>
      <xdr:rowOff>144236</xdr:rowOff>
    </xdr:to>
    <xdr:pic>
      <xdr:nvPicPr>
        <xdr:cNvPr id="14" name="15 Imagen" descr="https://www4.sii.cl/rfiInternet/images/F29V2/group_opened.png">
          <a:extLst>
            <a:ext uri="{FF2B5EF4-FFF2-40B4-BE49-F238E27FC236}">
              <a16:creationId xmlns:a16="http://schemas.microsoft.com/office/drawing/2014/main" id="{9C269B2E-E276-429B-8C1F-A4F6FE77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49174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135</xdr:row>
      <xdr:rowOff>0</xdr:rowOff>
    </xdr:from>
    <xdr:to>
      <xdr:col>19</xdr:col>
      <xdr:colOff>152400</xdr:colOff>
      <xdr:row>135</xdr:row>
      <xdr:rowOff>144236</xdr:rowOff>
    </xdr:to>
    <xdr:pic>
      <xdr:nvPicPr>
        <xdr:cNvPr id="15" name="17 Imagen" descr="https://www4.sii.cl/rfiInternet/images/F29V2/group_opened.png">
          <a:extLst>
            <a:ext uri="{FF2B5EF4-FFF2-40B4-BE49-F238E27FC236}">
              <a16:creationId xmlns:a16="http://schemas.microsoft.com/office/drawing/2014/main" id="{999E60F2-68EF-470B-AAC7-7709C033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80035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161</xdr:row>
      <xdr:rowOff>0</xdr:rowOff>
    </xdr:from>
    <xdr:to>
      <xdr:col>19</xdr:col>
      <xdr:colOff>152400</xdr:colOff>
      <xdr:row>161</xdr:row>
      <xdr:rowOff>144236</xdr:rowOff>
    </xdr:to>
    <xdr:pic>
      <xdr:nvPicPr>
        <xdr:cNvPr id="16" name="18 Imagen" descr="https://www4.sii.cl/rfiInternet/images/F29V2/group_opened.png">
          <a:extLst>
            <a:ext uri="{FF2B5EF4-FFF2-40B4-BE49-F238E27FC236}">
              <a16:creationId xmlns:a16="http://schemas.microsoft.com/office/drawing/2014/main" id="{84B67B99-3D9B-4F19-B741-F82690F21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32708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1257300</xdr:colOff>
      <xdr:row>4</xdr:row>
      <xdr:rowOff>118992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F39E82-6E90-4A0D-B2C2-CB7B25380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0" cy="88099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19</xdr:col>
      <xdr:colOff>152400</xdr:colOff>
      <xdr:row>9</xdr:row>
      <xdr:rowOff>144236</xdr:rowOff>
    </xdr:to>
    <xdr:pic>
      <xdr:nvPicPr>
        <xdr:cNvPr id="2" name="1 Imagen" descr="https://www4.sii.cl/rfiInternet/images/F29V2/group_opened.png">
          <a:extLst>
            <a:ext uri="{FF2B5EF4-FFF2-40B4-BE49-F238E27FC236}">
              <a16:creationId xmlns:a16="http://schemas.microsoft.com/office/drawing/2014/main" id="{863AB87C-14CD-45DB-B4CE-00711645C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762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152400</xdr:colOff>
      <xdr:row>10</xdr:row>
      <xdr:rowOff>144236</xdr:rowOff>
    </xdr:to>
    <xdr:pic>
      <xdr:nvPicPr>
        <xdr:cNvPr id="3" name="2 Imagen" descr="https://www4.sii.cl/rfiInternet/images/F29V2/group_opened.png">
          <a:extLst>
            <a:ext uri="{FF2B5EF4-FFF2-40B4-BE49-F238E27FC236}">
              <a16:creationId xmlns:a16="http://schemas.microsoft.com/office/drawing/2014/main" id="{2651C354-9233-47DB-B839-955319C6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9526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152400</xdr:colOff>
      <xdr:row>11</xdr:row>
      <xdr:rowOff>144236</xdr:rowOff>
    </xdr:to>
    <xdr:pic>
      <xdr:nvPicPr>
        <xdr:cNvPr id="4" name="3 Imagen" descr="https://www4.sii.cl/rfiInternet/images/F29V2/group_opened.png">
          <a:extLst>
            <a:ext uri="{FF2B5EF4-FFF2-40B4-BE49-F238E27FC236}">
              <a16:creationId xmlns:a16="http://schemas.microsoft.com/office/drawing/2014/main" id="{655F1EB6-53D5-455C-9C63-6098242D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43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152400</xdr:colOff>
      <xdr:row>19</xdr:row>
      <xdr:rowOff>144236</xdr:rowOff>
    </xdr:to>
    <xdr:pic>
      <xdr:nvPicPr>
        <xdr:cNvPr id="5" name="4 Imagen" descr="https://www4.sii.cl/rfiInternet/images/F29V2/group_opened.png">
          <a:extLst>
            <a:ext uri="{FF2B5EF4-FFF2-40B4-BE49-F238E27FC236}">
              <a16:creationId xmlns:a16="http://schemas.microsoft.com/office/drawing/2014/main" id="{3168EFC6-0583-4A11-A36A-8E045FF5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667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152400</xdr:colOff>
      <xdr:row>38</xdr:row>
      <xdr:rowOff>144236</xdr:rowOff>
    </xdr:to>
    <xdr:pic>
      <xdr:nvPicPr>
        <xdr:cNvPr id="6" name="5 Imagen" descr="https://www4.sii.cl/rfiInternet/images/F29V2/group_opened.png">
          <a:extLst>
            <a:ext uri="{FF2B5EF4-FFF2-40B4-BE49-F238E27FC236}">
              <a16:creationId xmlns:a16="http://schemas.microsoft.com/office/drawing/2014/main" id="{C2B73ACB-481E-47EB-BB05-887DC465E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30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19</xdr:col>
      <xdr:colOff>152400</xdr:colOff>
      <xdr:row>39</xdr:row>
      <xdr:rowOff>144236</xdr:rowOff>
    </xdr:to>
    <xdr:pic>
      <xdr:nvPicPr>
        <xdr:cNvPr id="7" name="6 Imagen" descr="https://www4.sii.cl/rfiInternet/images/F29V2/group_opened.png">
          <a:extLst>
            <a:ext uri="{FF2B5EF4-FFF2-40B4-BE49-F238E27FC236}">
              <a16:creationId xmlns:a16="http://schemas.microsoft.com/office/drawing/2014/main" id="{7D31645D-A4AC-467D-803A-EE08C769C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7496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152400</xdr:colOff>
      <xdr:row>42</xdr:row>
      <xdr:rowOff>144236</xdr:rowOff>
    </xdr:to>
    <xdr:pic>
      <xdr:nvPicPr>
        <xdr:cNvPr id="8" name="7 Imagen" descr="https://www4.sii.cl/rfiInternet/images/F29V2/group_opened.png">
          <a:extLst>
            <a:ext uri="{FF2B5EF4-FFF2-40B4-BE49-F238E27FC236}">
              <a16:creationId xmlns:a16="http://schemas.microsoft.com/office/drawing/2014/main" id="{24B43099-CEE2-4227-B633-9136FC19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8258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47</xdr:row>
      <xdr:rowOff>0</xdr:rowOff>
    </xdr:from>
    <xdr:to>
      <xdr:col>19</xdr:col>
      <xdr:colOff>152400</xdr:colOff>
      <xdr:row>47</xdr:row>
      <xdr:rowOff>144236</xdr:rowOff>
    </xdr:to>
    <xdr:pic>
      <xdr:nvPicPr>
        <xdr:cNvPr id="9" name="8 Imagen" descr="https://www4.sii.cl/rfiInternet/images/F29V2/group_opened.png">
          <a:extLst>
            <a:ext uri="{FF2B5EF4-FFF2-40B4-BE49-F238E27FC236}">
              <a16:creationId xmlns:a16="http://schemas.microsoft.com/office/drawing/2014/main" id="{60FA0AB3-C0AD-421B-86FB-3F761372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210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48</xdr:row>
      <xdr:rowOff>0</xdr:rowOff>
    </xdr:from>
    <xdr:to>
      <xdr:col>19</xdr:col>
      <xdr:colOff>152400</xdr:colOff>
      <xdr:row>48</xdr:row>
      <xdr:rowOff>144236</xdr:rowOff>
    </xdr:to>
    <xdr:pic>
      <xdr:nvPicPr>
        <xdr:cNvPr id="10" name="9 Imagen" descr="https://www4.sii.cl/rfiInternet/images/F29V2/group_opened.png">
          <a:extLst>
            <a:ext uri="{FF2B5EF4-FFF2-40B4-BE49-F238E27FC236}">
              <a16:creationId xmlns:a16="http://schemas.microsoft.com/office/drawing/2014/main" id="{B7B6EF2F-114E-4725-B331-61BCB06B2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940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19</xdr:col>
      <xdr:colOff>152400</xdr:colOff>
      <xdr:row>56</xdr:row>
      <xdr:rowOff>144236</xdr:rowOff>
    </xdr:to>
    <xdr:pic>
      <xdr:nvPicPr>
        <xdr:cNvPr id="11" name="10 Imagen" descr="https://www4.sii.cl/rfiInternet/images/F29V2/group_opened.png">
          <a:extLst>
            <a:ext uri="{FF2B5EF4-FFF2-40B4-BE49-F238E27FC236}">
              <a16:creationId xmlns:a16="http://schemas.microsoft.com/office/drawing/2014/main" id="{1D22F99E-EC85-445D-A4D7-E04DD19D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111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67</xdr:row>
      <xdr:rowOff>144236</xdr:rowOff>
    </xdr:to>
    <xdr:pic>
      <xdr:nvPicPr>
        <xdr:cNvPr id="12" name="11 Imagen" descr="https://www4.sii.cl/rfiInternet/images/F29V2/group_opened.png">
          <a:extLst>
            <a:ext uri="{FF2B5EF4-FFF2-40B4-BE49-F238E27FC236}">
              <a16:creationId xmlns:a16="http://schemas.microsoft.com/office/drawing/2014/main" id="{9CF6EB29-44E7-421D-AA14-6F3056B0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321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105</xdr:row>
      <xdr:rowOff>0</xdr:rowOff>
    </xdr:from>
    <xdr:to>
      <xdr:col>19</xdr:col>
      <xdr:colOff>152400</xdr:colOff>
      <xdr:row>105</xdr:row>
      <xdr:rowOff>144236</xdr:rowOff>
    </xdr:to>
    <xdr:pic>
      <xdr:nvPicPr>
        <xdr:cNvPr id="13" name="14 Imagen" descr="https://www4.sii.cl/rfiInternet/images/F29V2/group_opened.png">
          <a:extLst>
            <a:ext uri="{FF2B5EF4-FFF2-40B4-BE49-F238E27FC236}">
              <a16:creationId xmlns:a16="http://schemas.microsoft.com/office/drawing/2014/main" id="{99294B59-8F83-498C-850A-2A3B17C75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8313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119</xdr:row>
      <xdr:rowOff>0</xdr:rowOff>
    </xdr:from>
    <xdr:to>
      <xdr:col>19</xdr:col>
      <xdr:colOff>152400</xdr:colOff>
      <xdr:row>119</xdr:row>
      <xdr:rowOff>144236</xdr:rowOff>
    </xdr:to>
    <xdr:pic>
      <xdr:nvPicPr>
        <xdr:cNvPr id="14" name="15 Imagen" descr="https://www4.sii.cl/rfiInternet/images/F29V2/group_opened.png">
          <a:extLst>
            <a:ext uri="{FF2B5EF4-FFF2-40B4-BE49-F238E27FC236}">
              <a16:creationId xmlns:a16="http://schemas.microsoft.com/office/drawing/2014/main" id="{C90D13D2-35A5-47DE-AF19-6A9AE9D95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49174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135</xdr:row>
      <xdr:rowOff>0</xdr:rowOff>
    </xdr:from>
    <xdr:to>
      <xdr:col>19</xdr:col>
      <xdr:colOff>152400</xdr:colOff>
      <xdr:row>135</xdr:row>
      <xdr:rowOff>144236</xdr:rowOff>
    </xdr:to>
    <xdr:pic>
      <xdr:nvPicPr>
        <xdr:cNvPr id="15" name="17 Imagen" descr="https://www4.sii.cl/rfiInternet/images/F29V2/group_opened.png">
          <a:extLst>
            <a:ext uri="{FF2B5EF4-FFF2-40B4-BE49-F238E27FC236}">
              <a16:creationId xmlns:a16="http://schemas.microsoft.com/office/drawing/2014/main" id="{3CA3B3E7-1882-4E37-BBDE-9B8DB2AE4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80035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161</xdr:row>
      <xdr:rowOff>0</xdr:rowOff>
    </xdr:from>
    <xdr:to>
      <xdr:col>19</xdr:col>
      <xdr:colOff>152400</xdr:colOff>
      <xdr:row>161</xdr:row>
      <xdr:rowOff>144236</xdr:rowOff>
    </xdr:to>
    <xdr:pic>
      <xdr:nvPicPr>
        <xdr:cNvPr id="16" name="18 Imagen" descr="https://www4.sii.cl/rfiInternet/images/F29V2/group_opened.png">
          <a:extLst>
            <a:ext uri="{FF2B5EF4-FFF2-40B4-BE49-F238E27FC236}">
              <a16:creationId xmlns:a16="http://schemas.microsoft.com/office/drawing/2014/main" id="{5B1401D4-3756-4344-A8B6-7F05ACC5C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32708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5556</xdr:colOff>
      <xdr:row>4</xdr:row>
      <xdr:rowOff>118992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D44519-D7F9-4377-A695-6D8671D77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0" cy="8809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19</xdr:col>
      <xdr:colOff>152400</xdr:colOff>
      <xdr:row>9</xdr:row>
      <xdr:rowOff>144236</xdr:rowOff>
    </xdr:to>
    <xdr:pic>
      <xdr:nvPicPr>
        <xdr:cNvPr id="2" name="1 Imagen" descr="https://www4.sii.cl/rfiInternet/images/F29V2/group_opened.png">
          <a:extLst>
            <a:ext uri="{FF2B5EF4-FFF2-40B4-BE49-F238E27FC236}">
              <a16:creationId xmlns:a16="http://schemas.microsoft.com/office/drawing/2014/main" id="{54E27BD5-822A-459A-834E-61AF83A9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1762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152400</xdr:colOff>
      <xdr:row>10</xdr:row>
      <xdr:rowOff>144236</xdr:rowOff>
    </xdr:to>
    <xdr:pic>
      <xdr:nvPicPr>
        <xdr:cNvPr id="3" name="2 Imagen" descr="https://www4.sii.cl/rfiInternet/images/F29V2/group_opened.png">
          <a:extLst>
            <a:ext uri="{FF2B5EF4-FFF2-40B4-BE49-F238E27FC236}">
              <a16:creationId xmlns:a16="http://schemas.microsoft.com/office/drawing/2014/main" id="{44D7B9EA-D1B2-49EB-8B04-69FC1A5A7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19526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152400</xdr:colOff>
      <xdr:row>11</xdr:row>
      <xdr:rowOff>144236</xdr:rowOff>
    </xdr:to>
    <xdr:pic>
      <xdr:nvPicPr>
        <xdr:cNvPr id="4" name="3 Imagen" descr="https://www4.sii.cl/rfiInternet/images/F29V2/group_opened.png">
          <a:extLst>
            <a:ext uri="{FF2B5EF4-FFF2-40B4-BE49-F238E27FC236}">
              <a16:creationId xmlns:a16="http://schemas.microsoft.com/office/drawing/2014/main" id="{C44E19B4-C0E8-49D8-A471-9DF55FC3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2143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152400</xdr:colOff>
      <xdr:row>19</xdr:row>
      <xdr:rowOff>144236</xdr:rowOff>
    </xdr:to>
    <xdr:pic>
      <xdr:nvPicPr>
        <xdr:cNvPr id="5" name="4 Imagen" descr="https://www4.sii.cl/rfiInternet/images/F29V2/group_opened.png">
          <a:extLst>
            <a:ext uri="{FF2B5EF4-FFF2-40B4-BE49-F238E27FC236}">
              <a16:creationId xmlns:a16="http://schemas.microsoft.com/office/drawing/2014/main" id="{21615B0D-B78E-4E36-9354-486229E4B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36671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152400</xdr:colOff>
      <xdr:row>38</xdr:row>
      <xdr:rowOff>144236</xdr:rowOff>
    </xdr:to>
    <xdr:pic>
      <xdr:nvPicPr>
        <xdr:cNvPr id="6" name="5 Imagen" descr="https://www4.sii.cl/rfiInternet/images/F29V2/group_opened.png">
          <a:extLst>
            <a:ext uri="{FF2B5EF4-FFF2-40B4-BE49-F238E27FC236}">
              <a16:creationId xmlns:a16="http://schemas.microsoft.com/office/drawing/2014/main" id="{AA5EB779-9DD7-46C3-B110-643BD948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730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19</xdr:col>
      <xdr:colOff>152400</xdr:colOff>
      <xdr:row>39</xdr:row>
      <xdr:rowOff>144236</xdr:rowOff>
    </xdr:to>
    <xdr:pic>
      <xdr:nvPicPr>
        <xdr:cNvPr id="7" name="6 Imagen" descr="https://www4.sii.cl/rfiInternet/images/F29V2/group_opened.png">
          <a:extLst>
            <a:ext uri="{FF2B5EF4-FFF2-40B4-BE49-F238E27FC236}">
              <a16:creationId xmlns:a16="http://schemas.microsoft.com/office/drawing/2014/main" id="{A2D9931A-DBD6-4CDF-9262-283185D1E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7496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152400</xdr:colOff>
      <xdr:row>42</xdr:row>
      <xdr:rowOff>144236</xdr:rowOff>
    </xdr:to>
    <xdr:pic>
      <xdr:nvPicPr>
        <xdr:cNvPr id="8" name="7 Imagen" descr="https://www4.sii.cl/rfiInternet/images/F29V2/group_opened.png">
          <a:extLst>
            <a:ext uri="{FF2B5EF4-FFF2-40B4-BE49-F238E27FC236}">
              <a16:creationId xmlns:a16="http://schemas.microsoft.com/office/drawing/2014/main" id="{137B023B-976F-4F24-9CBD-197CDF9E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8258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47</xdr:row>
      <xdr:rowOff>0</xdr:rowOff>
    </xdr:from>
    <xdr:to>
      <xdr:col>19</xdr:col>
      <xdr:colOff>152400</xdr:colOff>
      <xdr:row>47</xdr:row>
      <xdr:rowOff>144236</xdr:rowOff>
    </xdr:to>
    <xdr:pic>
      <xdr:nvPicPr>
        <xdr:cNvPr id="9" name="8 Imagen" descr="https://www4.sii.cl/rfiInternet/images/F29V2/group_opened.png">
          <a:extLst>
            <a:ext uri="{FF2B5EF4-FFF2-40B4-BE49-F238E27FC236}">
              <a16:creationId xmlns:a16="http://schemas.microsoft.com/office/drawing/2014/main" id="{EB556210-7685-46DA-94A9-4B2CE8121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9210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48</xdr:row>
      <xdr:rowOff>0</xdr:rowOff>
    </xdr:from>
    <xdr:to>
      <xdr:col>19</xdr:col>
      <xdr:colOff>152400</xdr:colOff>
      <xdr:row>48</xdr:row>
      <xdr:rowOff>144236</xdr:rowOff>
    </xdr:to>
    <xdr:pic>
      <xdr:nvPicPr>
        <xdr:cNvPr id="10" name="9 Imagen" descr="https://www4.sii.cl/rfiInternet/images/F29V2/group_opened.png">
          <a:extLst>
            <a:ext uri="{FF2B5EF4-FFF2-40B4-BE49-F238E27FC236}">
              <a16:creationId xmlns:a16="http://schemas.microsoft.com/office/drawing/2014/main" id="{0F30131E-4F31-4AA4-9B5D-0F4F37FE1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940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19</xdr:col>
      <xdr:colOff>152400</xdr:colOff>
      <xdr:row>56</xdr:row>
      <xdr:rowOff>144236</xdr:rowOff>
    </xdr:to>
    <xdr:pic>
      <xdr:nvPicPr>
        <xdr:cNvPr id="11" name="10 Imagen" descr="https://www4.sii.cl/rfiInternet/images/F29V2/group_opened.png">
          <a:extLst>
            <a:ext uri="{FF2B5EF4-FFF2-40B4-BE49-F238E27FC236}">
              <a16:creationId xmlns:a16="http://schemas.microsoft.com/office/drawing/2014/main" id="{337BD9E4-A3E1-4452-8F30-0855A0E5C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111156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67</xdr:row>
      <xdr:rowOff>144236</xdr:rowOff>
    </xdr:to>
    <xdr:pic>
      <xdr:nvPicPr>
        <xdr:cNvPr id="12" name="11 Imagen" descr="https://www4.sii.cl/rfiInternet/images/F29V2/group_opened.png">
          <a:extLst>
            <a:ext uri="{FF2B5EF4-FFF2-40B4-BE49-F238E27FC236}">
              <a16:creationId xmlns:a16="http://schemas.microsoft.com/office/drawing/2014/main" id="{66F063C4-A636-4F5B-9CCA-AE1B4FB8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1321117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105</xdr:row>
      <xdr:rowOff>0</xdr:rowOff>
    </xdr:from>
    <xdr:to>
      <xdr:col>19</xdr:col>
      <xdr:colOff>152400</xdr:colOff>
      <xdr:row>105</xdr:row>
      <xdr:rowOff>144236</xdr:rowOff>
    </xdr:to>
    <xdr:pic>
      <xdr:nvPicPr>
        <xdr:cNvPr id="13" name="14 Imagen" descr="https://www4.sii.cl/rfiInternet/images/F29V2/group_opened.png">
          <a:extLst>
            <a:ext uri="{FF2B5EF4-FFF2-40B4-BE49-F238E27FC236}">
              <a16:creationId xmlns:a16="http://schemas.microsoft.com/office/drawing/2014/main" id="{9D0038CF-10ED-40AA-8158-B77214D8C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214503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119</xdr:row>
      <xdr:rowOff>0</xdr:rowOff>
    </xdr:from>
    <xdr:to>
      <xdr:col>19</xdr:col>
      <xdr:colOff>152400</xdr:colOff>
      <xdr:row>119</xdr:row>
      <xdr:rowOff>144236</xdr:rowOff>
    </xdr:to>
    <xdr:pic>
      <xdr:nvPicPr>
        <xdr:cNvPr id="14" name="15 Imagen" descr="https://www4.sii.cl/rfiInternet/images/F29V2/group_opened.png">
          <a:extLst>
            <a:ext uri="{FF2B5EF4-FFF2-40B4-BE49-F238E27FC236}">
              <a16:creationId xmlns:a16="http://schemas.microsoft.com/office/drawing/2014/main" id="{0DB58E6C-315B-4EA2-9391-067927DBC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245364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135</xdr:row>
      <xdr:rowOff>0</xdr:rowOff>
    </xdr:from>
    <xdr:to>
      <xdr:col>19</xdr:col>
      <xdr:colOff>152400</xdr:colOff>
      <xdr:row>135</xdr:row>
      <xdr:rowOff>144236</xdr:rowOff>
    </xdr:to>
    <xdr:pic>
      <xdr:nvPicPr>
        <xdr:cNvPr id="15" name="17 Imagen" descr="https://www4.sii.cl/rfiInternet/images/F29V2/group_opened.png">
          <a:extLst>
            <a:ext uri="{FF2B5EF4-FFF2-40B4-BE49-F238E27FC236}">
              <a16:creationId xmlns:a16="http://schemas.microsoft.com/office/drawing/2014/main" id="{697F7CFE-8954-4361-9ED6-F0441F357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27622500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161</xdr:row>
      <xdr:rowOff>0</xdr:rowOff>
    </xdr:from>
    <xdr:to>
      <xdr:col>19</xdr:col>
      <xdr:colOff>152400</xdr:colOff>
      <xdr:row>161</xdr:row>
      <xdr:rowOff>144236</xdr:rowOff>
    </xdr:to>
    <xdr:pic>
      <xdr:nvPicPr>
        <xdr:cNvPr id="16" name="18 Imagen" descr="https://www4.sii.cl/rfiInternet/images/F29V2/group_opened.png">
          <a:extLst>
            <a:ext uri="{FF2B5EF4-FFF2-40B4-BE49-F238E27FC236}">
              <a16:creationId xmlns:a16="http://schemas.microsoft.com/office/drawing/2014/main" id="{B7A445D1-AA82-4664-A611-22A78F14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32889825"/>
          <a:ext cx="152400" cy="14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2238375</xdr:colOff>
      <xdr:row>3</xdr:row>
      <xdr:rowOff>185077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F355E-840E-405C-9DF7-91EFCF6FD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756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419100</xdr:colOff>
      <xdr:row>3</xdr:row>
      <xdr:rowOff>185077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B626FA-AF55-4853-81EA-56BEA430A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7565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1841500</xdr:colOff>
      <xdr:row>3</xdr:row>
      <xdr:rowOff>185077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E672D-4011-468E-8135-353DF01AF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7565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3</xdr:row>
      <xdr:rowOff>185077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A929F8-1427-48FF-B9D3-9B234989A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7565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3</xdr:row>
      <xdr:rowOff>185077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9B3BBB-47F8-4302-9518-16A7321A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7565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5:Z202" insertRowShift="1" totalsRowShown="0" headerRowDxfId="30" dataDxfId="28" headerRowBorderDxfId="29" tableBorderDxfId="27" totalsRowBorderDxfId="26">
  <autoFilter ref="A15:Z202" xr:uid="{00000000-0009-0000-0100-000001000000}"/>
  <tableColumns count="26">
    <tableColumn id="1" xr3:uid="{00000000-0010-0000-0000-000001000000}" name="COD.AUT" dataDxfId="25"/>
    <tableColumn id="2" xr3:uid="{00000000-0010-0000-0000-000002000000}" name="LOCAL" dataDxfId="24"/>
    <tableColumn id="3" xr3:uid="{00000000-0010-0000-0000-000003000000}" name="NUM LOCAL" dataDxfId="23"/>
    <tableColumn id="4" xr3:uid="{00000000-0010-0000-0000-000004000000}" name="TERMINAL" dataDxfId="22"/>
    <tableColumn id="5" xr3:uid="{00000000-0010-0000-0000-000005000000}" name="BOLETA" dataDxfId="21"/>
    <tableColumn id="6" xr3:uid="{00000000-0010-0000-0000-000006000000}" name="VENDEDOR" dataDxfId="20"/>
    <tableColumn id="7" xr3:uid="{00000000-0010-0000-0000-000007000000}" name="MARCA" dataDxfId="19"/>
    <tableColumn id="8" xr3:uid="{00000000-0010-0000-0000-000008000000}" name="FECHA VENTA" dataDxfId="18"/>
    <tableColumn id="9" xr3:uid="{00000000-0010-0000-0000-000009000000}" name="BIN" dataDxfId="17"/>
    <tableColumn id="10" xr3:uid="{00000000-0010-0000-0000-00000A000000}" name="TIPO" dataDxfId="16"/>
    <tableColumn id="11" xr3:uid="{00000000-0010-0000-0000-00000B000000}" name="TIPO MOV." dataDxfId="15"/>
    <tableColumn id="12" xr3:uid="{00000000-0010-0000-0000-00000C000000}" name="CUOTAS" dataDxfId="14"/>
    <tableColumn id="13" xr3:uid="{00000000-0010-0000-0000-00000D000000}" name="MONEDA" dataDxfId="13"/>
    <tableColumn id="14" xr3:uid="{00000000-0010-0000-0000-00000E000000}" name="VUELTO" dataDxfId="12"/>
    <tableColumn id="15" xr3:uid="{17CF595A-49E1-464D-B81A-DBBFD410D041}" name="PROPINA" dataDxfId="11"/>
    <tableColumn id="16" xr3:uid="{49702B53-32B1-42F9-8E95-77BDD238C5FF}" name="VALOR VENTA" dataDxfId="10"/>
    <tableColumn id="17" xr3:uid="{AF62D7F0-5FB3-4EE8-822F-A2D993DA9307}" name="VALOR TRANSACCIÓN" dataDxfId="9"/>
    <tableColumn id="18" xr3:uid="{466AED22-B14D-4129-828F-6C8F71B7551F}" name="TIPO PAGO" dataDxfId="8"/>
    <tableColumn id="19" xr3:uid="{0BF1D505-161A-485E-95BD-F482C30C2A8A}" name="COMISIÓN" dataDxfId="7"/>
    <tableColumn id="20" xr3:uid="{A688D676-5939-4089-954E-8F02A32DCFA7}" name="MONTO ABONO" dataDxfId="6"/>
    <tableColumn id="21" xr3:uid="{65FF4E39-88BB-400D-9466-AA17246F9CDE}" name="FECHA ABONO" dataDxfId="5"/>
    <tableColumn id="22" xr3:uid="{D15A0E6C-D8E4-4101-B176-85CC33BA5D0C}" name="ESTADO" dataDxfId="4"/>
    <tableColumn id="23" xr3:uid="{0FD64DED-E6F5-4C49-AD13-27AC17F389F1}" name="REFERENCIA" dataDxfId="3"/>
    <tableColumn id="24" xr3:uid="{18E539E4-9574-4271-BBFF-235FDF92D6B6}" name="COD. AUT. PADRE" dataDxfId="2"/>
    <tableColumn id="25" xr3:uid="{55DEA854-4F07-4002-870D-3B997333204D}" name="COMISIÓN PROPINA" dataDxfId="1"/>
    <tableColumn id="26" xr3:uid="{7476A32B-CA1C-48C7-8BD6-E7E9708998B2}" name="COMISIÓN VUEL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H11"/>
  <sheetViews>
    <sheetView showGridLines="0" view="pageBreakPreview" zoomScale="80" zoomScaleNormal="75" zoomScaleSheetLayoutView="80" workbookViewId="0">
      <selection activeCell="K9" sqref="K9"/>
    </sheetView>
  </sheetViews>
  <sheetFormatPr baseColWidth="10" defaultColWidth="11.42578125" defaultRowHeight="15" x14ac:dyDescent="0.25"/>
  <cols>
    <col min="1" max="1" width="4.140625" style="1" customWidth="1"/>
    <col min="2" max="3" width="11.42578125" style="1"/>
    <col min="4" max="4" width="11.5703125" style="1" customWidth="1"/>
    <col min="5" max="16384" width="11.42578125" style="1"/>
  </cols>
  <sheetData>
    <row r="6" spans="3:8" ht="20.25" x14ac:dyDescent="0.3">
      <c r="C6" s="430"/>
      <c r="D6" s="430"/>
      <c r="E6" s="430"/>
      <c r="F6" s="430"/>
      <c r="G6" s="430"/>
      <c r="H6" s="430"/>
    </row>
    <row r="10" spans="3:8" ht="20.25" x14ac:dyDescent="0.3">
      <c r="D10" s="430" t="s">
        <v>0</v>
      </c>
      <c r="E10" s="430"/>
      <c r="F10" s="430"/>
      <c r="G10" s="430"/>
    </row>
    <row r="11" spans="3:8" ht="20.25" x14ac:dyDescent="0.3">
      <c r="D11" s="430" t="s">
        <v>1</v>
      </c>
      <c r="E11" s="430"/>
      <c r="F11" s="430"/>
      <c r="G11" s="430"/>
    </row>
  </sheetData>
  <mergeCells count="3">
    <mergeCell ref="C6:H6"/>
    <mergeCell ref="D10:G10"/>
    <mergeCell ref="D11:G11"/>
  </mergeCells>
  <pageMargins left="0.7" right="0.7" top="0.75" bottom="0.75" header="0.3" footer="0.3"/>
  <pageSetup scale="8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AL65"/>
  <sheetViews>
    <sheetView showGridLines="0" tabSelected="1" zoomScale="80" zoomScaleNormal="80" workbookViewId="0">
      <pane ySplit="8" topLeftCell="A9" activePane="bottomLeft" state="frozen"/>
      <selection pane="bottomLeft" activeCell="K6" sqref="K6"/>
    </sheetView>
  </sheetViews>
  <sheetFormatPr baseColWidth="10" defaultColWidth="11.42578125" defaultRowHeight="15" x14ac:dyDescent="0.25"/>
  <cols>
    <col min="1" max="1" width="12.140625" style="1" bestFit="1" customWidth="1"/>
    <col min="2" max="2" width="9.28515625" style="1" bestFit="1" customWidth="1"/>
    <col min="3" max="3" width="8.7109375" style="1" bestFit="1" customWidth="1"/>
    <col min="4" max="4" width="6.42578125" style="1" customWidth="1"/>
    <col min="5" max="5" width="5.28515625" style="1" bestFit="1" customWidth="1"/>
    <col min="6" max="6" width="9.28515625" style="1" bestFit="1" customWidth="1"/>
    <col min="7" max="7" width="6.140625" style="1" bestFit="1" customWidth="1"/>
    <col min="8" max="8" width="12" style="1" bestFit="1" customWidth="1"/>
    <col min="9" max="9" width="9.42578125" style="1" bestFit="1" customWidth="1"/>
    <col min="10" max="10" width="9.140625" style="38" customWidth="1"/>
    <col min="11" max="11" width="19.140625" style="58" bestFit="1" customWidth="1"/>
    <col min="12" max="12" width="9.28515625" style="38" bestFit="1" customWidth="1"/>
    <col min="13" max="13" width="6.140625" style="38" bestFit="1" customWidth="1"/>
    <col min="14" max="14" width="12" style="38" bestFit="1" customWidth="1"/>
    <col min="15" max="15" width="9.42578125" style="38" bestFit="1" customWidth="1"/>
    <col min="16" max="16" width="5.5703125" style="38" customWidth="1"/>
    <col min="17" max="17" width="12.140625" style="1" bestFit="1" customWidth="1"/>
    <col min="18" max="19" width="10.7109375" style="1" bestFit="1" customWidth="1"/>
    <col min="20" max="20" width="7.85546875" style="1" bestFit="1" customWidth="1"/>
    <col min="21" max="21" width="11.28515625" style="1" bestFit="1" customWidth="1"/>
    <col min="22" max="22" width="12" style="1" customWidth="1"/>
    <col min="23" max="23" width="12.85546875" style="1" bestFit="1" customWidth="1"/>
    <col min="24" max="24" width="5.140625" style="1" customWidth="1"/>
    <col min="25" max="25" width="14.5703125" style="1" bestFit="1" customWidth="1"/>
    <col min="26" max="30" width="6" style="1" bestFit="1" customWidth="1"/>
    <col min="31" max="33" width="6.7109375" style="1" bestFit="1" customWidth="1"/>
    <col min="34" max="36" width="6" style="1" bestFit="1" customWidth="1"/>
    <col min="37" max="37" width="6.7109375" style="1" bestFit="1" customWidth="1"/>
    <col min="38" max="38" width="11.5703125" style="1" bestFit="1" customWidth="1"/>
    <col min="39" max="16384" width="11.42578125" style="1"/>
  </cols>
  <sheetData>
    <row r="4" spans="1:38" ht="15.75" customHeight="1" x14ac:dyDescent="0.25">
      <c r="R4" s="38"/>
      <c r="T4" s="38"/>
      <c r="W4" s="38"/>
    </row>
    <row r="5" spans="1:38" ht="15.75" customHeight="1" x14ac:dyDescent="0.25">
      <c r="R5" s="38"/>
      <c r="T5" s="38"/>
      <c r="W5" s="38"/>
    </row>
    <row r="6" spans="1:38" x14ac:dyDescent="0.25">
      <c r="C6" s="1">
        <v>12</v>
      </c>
      <c r="R6" s="38"/>
      <c r="T6" s="38"/>
      <c r="W6" s="38"/>
    </row>
    <row r="7" spans="1:38" ht="15.75" thickBot="1" x14ac:dyDescent="0.3">
      <c r="A7" s="577">
        <v>2024</v>
      </c>
      <c r="B7" s="579" t="s">
        <v>387</v>
      </c>
      <c r="C7" s="581" t="s">
        <v>388</v>
      </c>
      <c r="H7" s="44"/>
      <c r="K7" s="59" t="s">
        <v>434</v>
      </c>
      <c r="L7" s="1"/>
      <c r="M7" s="1"/>
      <c r="N7" s="1"/>
      <c r="O7" s="1"/>
    </row>
    <row r="8" spans="1:38" ht="30" x14ac:dyDescent="0.25">
      <c r="A8" s="578"/>
      <c r="B8" s="580"/>
      <c r="C8" s="582"/>
      <c r="E8" s="215" t="s">
        <v>257</v>
      </c>
      <c r="F8" s="228" t="s">
        <v>389</v>
      </c>
      <c r="G8" s="229" t="s">
        <v>390</v>
      </c>
      <c r="H8" s="228" t="s">
        <v>391</v>
      </c>
      <c r="I8" s="230" t="s">
        <v>295</v>
      </c>
      <c r="K8" s="215" t="s">
        <v>257</v>
      </c>
      <c r="L8" s="228" t="s">
        <v>389</v>
      </c>
      <c r="M8" s="229" t="s">
        <v>390</v>
      </c>
      <c r="N8" s="228" t="s">
        <v>391</v>
      </c>
      <c r="O8" s="230" t="s">
        <v>295</v>
      </c>
      <c r="Q8" s="375" t="s">
        <v>257</v>
      </c>
      <c r="R8" s="376" t="s">
        <v>392</v>
      </c>
      <c r="S8" s="377" t="s">
        <v>393</v>
      </c>
      <c r="T8" s="376" t="s">
        <v>142</v>
      </c>
      <c r="U8" s="377" t="s">
        <v>976</v>
      </c>
      <c r="V8" s="378" t="s">
        <v>977</v>
      </c>
      <c r="Y8" s="360"/>
      <c r="Z8" s="361" t="s">
        <v>962</v>
      </c>
      <c r="AA8" s="362" t="s">
        <v>963</v>
      </c>
      <c r="AB8" s="362" t="s">
        <v>964</v>
      </c>
      <c r="AC8" s="362" t="s">
        <v>965</v>
      </c>
      <c r="AD8" s="362" t="s">
        <v>966</v>
      </c>
      <c r="AE8" s="362" t="s">
        <v>967</v>
      </c>
      <c r="AF8" s="362" t="s">
        <v>968</v>
      </c>
      <c r="AG8" s="362" t="s">
        <v>969</v>
      </c>
      <c r="AH8" s="362" t="s">
        <v>970</v>
      </c>
      <c r="AI8" s="362" t="s">
        <v>971</v>
      </c>
      <c r="AJ8" s="362" t="s">
        <v>972</v>
      </c>
      <c r="AK8" s="363" t="s">
        <v>973</v>
      </c>
      <c r="AL8" s="364" t="s">
        <v>974</v>
      </c>
    </row>
    <row r="9" spans="1:38" s="219" customFormat="1" x14ac:dyDescent="0.25">
      <c r="A9" s="216" t="s">
        <v>266</v>
      </c>
      <c r="B9" s="217">
        <v>64666</v>
      </c>
      <c r="C9" s="218">
        <f>+B9*$C$6</f>
        <v>775992</v>
      </c>
      <c r="E9" s="231">
        <v>1</v>
      </c>
      <c r="F9" s="226"/>
      <c r="G9" s="227">
        <f t="shared" ref="G9:G20" si="0">+ROUND(IF(B9&gt;0,F9/B9,0),2)</f>
        <v>0</v>
      </c>
      <c r="H9" s="226">
        <f t="shared" ref="H9:H20" si="1">+ROUND(G9*B10,0)</f>
        <v>0</v>
      </c>
      <c r="I9" s="232">
        <f t="shared" ref="I9:I12" si="2">+H9-F9</f>
        <v>0</v>
      </c>
      <c r="J9" s="183"/>
      <c r="K9" s="231">
        <v>1</v>
      </c>
      <c r="L9" s="226"/>
      <c r="M9" s="227">
        <f t="shared" ref="M9:M20" si="3">+ROUND(IF(B9&gt;0,L9/B9,0),2)</f>
        <v>0</v>
      </c>
      <c r="N9" s="226">
        <f t="shared" ref="N9:N20" si="4">+ROUND(M9*B10,0)</f>
        <v>0</v>
      </c>
      <c r="O9" s="232">
        <f t="shared" ref="O9:O20" si="5">+N9-L9</f>
        <v>0</v>
      </c>
      <c r="P9" s="183"/>
      <c r="Q9" s="379" t="s">
        <v>266</v>
      </c>
      <c r="R9" s="183"/>
      <c r="S9" s="57">
        <v>1.25E-3</v>
      </c>
      <c r="T9" s="183">
        <f t="shared" ref="T9:T20" si="6">+ROUND(R9*S9,0)</f>
        <v>0</v>
      </c>
      <c r="U9" s="380">
        <f>+AL11</f>
        <v>1.0209999999999999</v>
      </c>
      <c r="V9" s="173">
        <f>T9*U9</f>
        <v>0</v>
      </c>
      <c r="Y9" s="365" t="s">
        <v>975</v>
      </c>
      <c r="Z9" s="366">
        <v>0.1</v>
      </c>
      <c r="AA9" s="366">
        <v>0.7</v>
      </c>
      <c r="AB9" s="366">
        <v>1.1000000000000001</v>
      </c>
      <c r="AC9" s="366">
        <v>1.5</v>
      </c>
      <c r="AD9" s="366">
        <v>1.4</v>
      </c>
      <c r="AE9" s="366">
        <v>1.4</v>
      </c>
      <c r="AF9" s="366">
        <v>1.3</v>
      </c>
      <c r="AG9" s="366">
        <v>1.4</v>
      </c>
      <c r="AH9" s="366">
        <v>1.5</v>
      </c>
      <c r="AI9" s="366">
        <v>2.2000000000000002</v>
      </c>
      <c r="AJ9" s="366">
        <v>2.9</v>
      </c>
      <c r="AK9" s="366">
        <v>2.7</v>
      </c>
      <c r="AL9" s="367">
        <v>1.0269999999999999</v>
      </c>
    </row>
    <row r="10" spans="1:38" s="219" customFormat="1" x14ac:dyDescent="0.25">
      <c r="A10" s="216" t="s">
        <v>267</v>
      </c>
      <c r="B10" s="217">
        <v>64343</v>
      </c>
      <c r="C10" s="218">
        <f t="shared" ref="C10:C21" si="7">+B10*$C$6</f>
        <v>772116</v>
      </c>
      <c r="E10" s="231">
        <v>2</v>
      </c>
      <c r="F10" s="226"/>
      <c r="G10" s="227">
        <f t="shared" si="0"/>
        <v>0</v>
      </c>
      <c r="H10" s="226">
        <f t="shared" si="1"/>
        <v>0</v>
      </c>
      <c r="I10" s="232">
        <f t="shared" si="2"/>
        <v>0</v>
      </c>
      <c r="J10" s="183"/>
      <c r="K10" s="231">
        <v>2</v>
      </c>
      <c r="L10" s="226"/>
      <c r="M10" s="227">
        <f t="shared" si="3"/>
        <v>0</v>
      </c>
      <c r="N10" s="226">
        <f t="shared" si="4"/>
        <v>0</v>
      </c>
      <c r="O10" s="232">
        <f t="shared" si="5"/>
        <v>0</v>
      </c>
      <c r="P10" s="183"/>
      <c r="Q10" s="379" t="s">
        <v>267</v>
      </c>
      <c r="R10" s="183"/>
      <c r="S10" s="57">
        <v>1.25E-3</v>
      </c>
      <c r="T10" s="183">
        <f t="shared" si="6"/>
        <v>0</v>
      </c>
      <c r="U10" s="380">
        <f t="shared" ref="U10:U19" si="8">+AL12</f>
        <v>1.016</v>
      </c>
      <c r="V10" s="173">
        <f t="shared" ref="V10:V20" si="9">T10*U10</f>
        <v>0</v>
      </c>
      <c r="Y10" s="368" t="s">
        <v>266</v>
      </c>
      <c r="Z10" s="369"/>
      <c r="AA10" s="369">
        <v>0.6</v>
      </c>
      <c r="AB10" s="369">
        <v>1</v>
      </c>
      <c r="AC10" s="369">
        <v>1.4</v>
      </c>
      <c r="AD10" s="369">
        <v>1.3</v>
      </c>
      <c r="AE10" s="369">
        <v>1.3</v>
      </c>
      <c r="AF10" s="369">
        <v>1.2</v>
      </c>
      <c r="AG10" s="369">
        <v>1.3</v>
      </c>
      <c r="AH10" s="369">
        <v>1.4</v>
      </c>
      <c r="AI10" s="369">
        <v>2.1</v>
      </c>
      <c r="AJ10" s="369">
        <v>2.8</v>
      </c>
      <c r="AK10" s="369">
        <v>2.6</v>
      </c>
      <c r="AL10" s="370">
        <v>1.026</v>
      </c>
    </row>
    <row r="11" spans="1:38" s="219" customFormat="1" x14ac:dyDescent="0.25">
      <c r="A11" s="216" t="s">
        <v>268</v>
      </c>
      <c r="B11" s="217">
        <v>64793</v>
      </c>
      <c r="C11" s="218">
        <f t="shared" si="7"/>
        <v>777516</v>
      </c>
      <c r="E11" s="231">
        <v>3</v>
      </c>
      <c r="F11" s="226"/>
      <c r="G11" s="227">
        <f t="shared" si="0"/>
        <v>0</v>
      </c>
      <c r="H11" s="226">
        <f t="shared" si="1"/>
        <v>0</v>
      </c>
      <c r="I11" s="232">
        <f t="shared" si="2"/>
        <v>0</v>
      </c>
      <c r="J11" s="183"/>
      <c r="K11" s="231">
        <v>3</v>
      </c>
      <c r="L11" s="226"/>
      <c r="M11" s="227">
        <f t="shared" si="3"/>
        <v>0</v>
      </c>
      <c r="N11" s="226">
        <f t="shared" si="4"/>
        <v>0</v>
      </c>
      <c r="O11" s="232">
        <f t="shared" si="5"/>
        <v>0</v>
      </c>
      <c r="P11" s="183"/>
      <c r="Q11" s="379" t="s">
        <v>268</v>
      </c>
      <c r="R11" s="183"/>
      <c r="S11" s="57">
        <v>1.25E-3</v>
      </c>
      <c r="T11" s="183">
        <f t="shared" si="6"/>
        <v>0</v>
      </c>
      <c r="U11" s="380">
        <f t="shared" si="8"/>
        <v>1.0129999999999999</v>
      </c>
      <c r="V11" s="173">
        <f t="shared" si="9"/>
        <v>0</v>
      </c>
      <c r="Y11" s="368" t="s">
        <v>267</v>
      </c>
      <c r="Z11" s="369"/>
      <c r="AA11" s="369"/>
      <c r="AB11" s="369">
        <v>0.4</v>
      </c>
      <c r="AC11" s="369">
        <v>0.8</v>
      </c>
      <c r="AD11" s="369">
        <v>0.7</v>
      </c>
      <c r="AE11" s="369">
        <v>0.7</v>
      </c>
      <c r="AF11" s="369">
        <v>0.6</v>
      </c>
      <c r="AG11" s="369">
        <v>0.7</v>
      </c>
      <c r="AH11" s="369">
        <v>0.9</v>
      </c>
      <c r="AI11" s="369">
        <v>1.5</v>
      </c>
      <c r="AJ11" s="369">
        <v>2.2000000000000002</v>
      </c>
      <c r="AK11" s="369">
        <v>2.1</v>
      </c>
      <c r="AL11" s="371">
        <v>1.0209999999999999</v>
      </c>
    </row>
    <row r="12" spans="1:38" s="219" customFormat="1" x14ac:dyDescent="0.25">
      <c r="A12" s="216" t="s">
        <v>269</v>
      </c>
      <c r="B12" s="217">
        <v>65182</v>
      </c>
      <c r="C12" s="218">
        <f t="shared" si="7"/>
        <v>782184</v>
      </c>
      <c r="E12" s="231">
        <v>4</v>
      </c>
      <c r="F12" s="226"/>
      <c r="G12" s="227">
        <f t="shared" si="0"/>
        <v>0</v>
      </c>
      <c r="H12" s="226">
        <f t="shared" si="1"/>
        <v>0</v>
      </c>
      <c r="I12" s="232">
        <f t="shared" si="2"/>
        <v>0</v>
      </c>
      <c r="J12" s="183"/>
      <c r="K12" s="231">
        <v>4</v>
      </c>
      <c r="L12" s="226"/>
      <c r="M12" s="227">
        <f t="shared" si="3"/>
        <v>0</v>
      </c>
      <c r="N12" s="226">
        <f t="shared" si="4"/>
        <v>0</v>
      </c>
      <c r="O12" s="232">
        <f t="shared" si="5"/>
        <v>0</v>
      </c>
      <c r="P12" s="183"/>
      <c r="Q12" s="379" t="s">
        <v>269</v>
      </c>
      <c r="R12" s="183"/>
      <c r="S12" s="57">
        <v>1.25E-3</v>
      </c>
      <c r="T12" s="183">
        <f t="shared" si="6"/>
        <v>0</v>
      </c>
      <c r="U12" s="380">
        <f t="shared" si="8"/>
        <v>1.0129999999999999</v>
      </c>
      <c r="V12" s="173">
        <f t="shared" si="9"/>
        <v>0</v>
      </c>
      <c r="Y12" s="368" t="s">
        <v>268</v>
      </c>
      <c r="Z12" s="369"/>
      <c r="AA12" s="369"/>
      <c r="AB12" s="369"/>
      <c r="AC12" s="369">
        <v>0.3</v>
      </c>
      <c r="AD12" s="369">
        <v>0.3</v>
      </c>
      <c r="AE12" s="369">
        <v>0.2</v>
      </c>
      <c r="AF12" s="369">
        <v>0.2</v>
      </c>
      <c r="AG12" s="369">
        <v>0.3</v>
      </c>
      <c r="AH12" s="369">
        <v>0.4</v>
      </c>
      <c r="AI12" s="369">
        <v>1</v>
      </c>
      <c r="AJ12" s="369">
        <v>1.7</v>
      </c>
      <c r="AK12" s="369">
        <v>1.6</v>
      </c>
      <c r="AL12" s="370">
        <v>1.016</v>
      </c>
    </row>
    <row r="13" spans="1:38" s="219" customFormat="1" x14ac:dyDescent="0.25">
      <c r="A13" s="216" t="s">
        <v>270</v>
      </c>
      <c r="B13" s="217">
        <v>65443</v>
      </c>
      <c r="C13" s="218">
        <f t="shared" si="7"/>
        <v>785316</v>
      </c>
      <c r="E13" s="231">
        <v>5</v>
      </c>
      <c r="F13" s="226"/>
      <c r="G13" s="227">
        <f t="shared" si="0"/>
        <v>0</v>
      </c>
      <c r="H13" s="226">
        <f t="shared" si="1"/>
        <v>0</v>
      </c>
      <c r="I13" s="232">
        <f>+H13-F13</f>
        <v>0</v>
      </c>
      <c r="J13" s="183"/>
      <c r="K13" s="231">
        <v>5</v>
      </c>
      <c r="L13" s="226"/>
      <c r="M13" s="227">
        <f t="shared" si="3"/>
        <v>0</v>
      </c>
      <c r="N13" s="226">
        <f t="shared" si="4"/>
        <v>0</v>
      </c>
      <c r="O13" s="232">
        <f t="shared" si="5"/>
        <v>0</v>
      </c>
      <c r="P13" s="183"/>
      <c r="Q13" s="379" t="s">
        <v>270</v>
      </c>
      <c r="R13" s="183"/>
      <c r="S13" s="57">
        <v>1.25E-3</v>
      </c>
      <c r="T13" s="183">
        <f t="shared" si="6"/>
        <v>0</v>
      </c>
      <c r="U13" s="380">
        <f t="shared" si="8"/>
        <v>1.014</v>
      </c>
      <c r="V13" s="173">
        <f t="shared" si="9"/>
        <v>0</v>
      </c>
      <c r="Y13" s="368" t="s">
        <v>269</v>
      </c>
      <c r="Z13" s="369"/>
      <c r="AA13" s="369"/>
      <c r="AB13" s="369"/>
      <c r="AC13" s="369"/>
      <c r="AD13" s="369">
        <v>0</v>
      </c>
      <c r="AE13" s="369">
        <v>-0.1</v>
      </c>
      <c r="AF13" s="369">
        <v>-0.2</v>
      </c>
      <c r="AG13" s="369">
        <v>-0.1</v>
      </c>
      <c r="AH13" s="369">
        <v>0.1</v>
      </c>
      <c r="AI13" s="369">
        <v>0.7</v>
      </c>
      <c r="AJ13" s="369">
        <v>1.4</v>
      </c>
      <c r="AK13" s="369">
        <v>1.3</v>
      </c>
      <c r="AL13" s="370">
        <v>1.0129999999999999</v>
      </c>
    </row>
    <row r="14" spans="1:38" s="219" customFormat="1" x14ac:dyDescent="0.25">
      <c r="A14" s="216" t="s">
        <v>271</v>
      </c>
      <c r="B14" s="217">
        <v>65770</v>
      </c>
      <c r="C14" s="218">
        <f t="shared" si="7"/>
        <v>789240</v>
      </c>
      <c r="E14" s="231">
        <v>6</v>
      </c>
      <c r="F14" s="226"/>
      <c r="G14" s="227">
        <f t="shared" si="0"/>
        <v>0</v>
      </c>
      <c r="H14" s="226">
        <f t="shared" si="1"/>
        <v>0</v>
      </c>
      <c r="I14" s="232">
        <f>+H14-F14</f>
        <v>0</v>
      </c>
      <c r="J14" s="183"/>
      <c r="K14" s="231">
        <v>6</v>
      </c>
      <c r="L14" s="226"/>
      <c r="M14" s="227">
        <f t="shared" si="3"/>
        <v>0</v>
      </c>
      <c r="N14" s="226">
        <f t="shared" si="4"/>
        <v>0</v>
      </c>
      <c r="O14" s="232">
        <f t="shared" si="5"/>
        <v>0</v>
      </c>
      <c r="P14" s="183"/>
      <c r="Q14" s="379" t="s">
        <v>271</v>
      </c>
      <c r="R14" s="183"/>
      <c r="S14" s="57">
        <v>1.25E-3</v>
      </c>
      <c r="T14" s="183">
        <f t="shared" si="6"/>
        <v>0</v>
      </c>
      <c r="U14" s="380">
        <f t="shared" si="8"/>
        <v>1.014</v>
      </c>
      <c r="V14" s="173">
        <f t="shared" si="9"/>
        <v>0</v>
      </c>
      <c r="Y14" s="368" t="s">
        <v>270</v>
      </c>
      <c r="Z14" s="369"/>
      <c r="AA14" s="369"/>
      <c r="AB14" s="369"/>
      <c r="AC14" s="369"/>
      <c r="AD14" s="369"/>
      <c r="AE14" s="369">
        <v>0</v>
      </c>
      <c r="AF14" s="369">
        <v>-0.1</v>
      </c>
      <c r="AG14" s="369">
        <v>0</v>
      </c>
      <c r="AH14" s="369">
        <v>0.1</v>
      </c>
      <c r="AI14" s="369">
        <v>0.8</v>
      </c>
      <c r="AJ14" s="369">
        <v>1.4</v>
      </c>
      <c r="AK14" s="369">
        <v>1.3</v>
      </c>
      <c r="AL14" s="370">
        <v>1.0129999999999999</v>
      </c>
    </row>
    <row r="15" spans="1:38" s="219" customFormat="1" x14ac:dyDescent="0.25">
      <c r="A15" s="216" t="s">
        <v>272</v>
      </c>
      <c r="B15" s="217">
        <v>65967</v>
      </c>
      <c r="C15" s="218">
        <f t="shared" si="7"/>
        <v>791604</v>
      </c>
      <c r="E15" s="231">
        <v>7</v>
      </c>
      <c r="F15" s="226"/>
      <c r="G15" s="227">
        <f t="shared" si="0"/>
        <v>0</v>
      </c>
      <c r="H15" s="226">
        <f t="shared" si="1"/>
        <v>0</v>
      </c>
      <c r="I15" s="232">
        <f t="shared" ref="I15:I20" si="10">+H15-F15</f>
        <v>0</v>
      </c>
      <c r="J15" s="183"/>
      <c r="K15" s="231">
        <v>7</v>
      </c>
      <c r="L15" s="226"/>
      <c r="M15" s="227">
        <f t="shared" si="3"/>
        <v>0</v>
      </c>
      <c r="N15" s="226">
        <f t="shared" si="4"/>
        <v>0</v>
      </c>
      <c r="O15" s="232">
        <f t="shared" si="5"/>
        <v>0</v>
      </c>
      <c r="P15" s="183"/>
      <c r="Q15" s="379" t="s">
        <v>272</v>
      </c>
      <c r="R15" s="183">
        <f>SUM('F-29'!J108:L108)</f>
        <v>9327670</v>
      </c>
      <c r="S15" s="57">
        <v>1.25E-3</v>
      </c>
      <c r="T15" s="183">
        <f t="shared" si="6"/>
        <v>11660</v>
      </c>
      <c r="U15" s="380">
        <f>+AL17</f>
        <v>1.0129999999999999</v>
      </c>
      <c r="V15" s="173">
        <f t="shared" si="9"/>
        <v>11811.579999999998</v>
      </c>
      <c r="Y15" s="368" t="s">
        <v>271</v>
      </c>
      <c r="Z15" s="369"/>
      <c r="AA15" s="369"/>
      <c r="AB15" s="369"/>
      <c r="AC15" s="369"/>
      <c r="AD15" s="369"/>
      <c r="AE15" s="369"/>
      <c r="AF15" s="369">
        <v>-0.1</v>
      </c>
      <c r="AG15" s="369">
        <v>0</v>
      </c>
      <c r="AH15" s="369">
        <v>0.2</v>
      </c>
      <c r="AI15" s="369">
        <v>0.8</v>
      </c>
      <c r="AJ15" s="369">
        <v>1.5</v>
      </c>
      <c r="AK15" s="369">
        <v>1.4</v>
      </c>
      <c r="AL15" s="370">
        <v>1.014</v>
      </c>
    </row>
    <row r="16" spans="1:38" s="219" customFormat="1" x14ac:dyDescent="0.25">
      <c r="A16" s="216" t="s">
        <v>273</v>
      </c>
      <c r="B16" s="217">
        <v>65901</v>
      </c>
      <c r="C16" s="218">
        <f t="shared" si="7"/>
        <v>790812</v>
      </c>
      <c r="E16" s="231">
        <v>8</v>
      </c>
      <c r="F16" s="226">
        <f>SUM('F-29'!G80:H80)</f>
        <v>469846</v>
      </c>
      <c r="G16" s="227">
        <f>+ROUND(IF(B16&gt;0,F16/B16,0),2)</f>
        <v>7.13</v>
      </c>
      <c r="H16" s="226">
        <f>+ROUND(G16*B17,0)</f>
        <v>473161</v>
      </c>
      <c r="I16" s="232">
        <f t="shared" si="10"/>
        <v>3315</v>
      </c>
      <c r="J16" s="183"/>
      <c r="K16" s="231">
        <v>8</v>
      </c>
      <c r="L16" s="226">
        <f>SUM('F-29'!J168:M168)</f>
        <v>0</v>
      </c>
      <c r="M16" s="227">
        <f t="shared" si="3"/>
        <v>0</v>
      </c>
      <c r="N16" s="226">
        <f t="shared" si="4"/>
        <v>0</v>
      </c>
      <c r="O16" s="232">
        <f t="shared" si="5"/>
        <v>0</v>
      </c>
      <c r="P16" s="183"/>
      <c r="Q16" s="379" t="s">
        <v>273</v>
      </c>
      <c r="R16" s="183"/>
      <c r="S16" s="57">
        <v>1.25E-3</v>
      </c>
      <c r="T16" s="183">
        <f t="shared" si="6"/>
        <v>0</v>
      </c>
      <c r="U16" s="380">
        <f t="shared" si="8"/>
        <v>1.012</v>
      </c>
      <c r="V16" s="173">
        <f t="shared" si="9"/>
        <v>0</v>
      </c>
      <c r="Y16" s="368" t="s">
        <v>272</v>
      </c>
      <c r="Z16" s="369"/>
      <c r="AA16" s="369"/>
      <c r="AB16" s="369"/>
      <c r="AC16" s="369"/>
      <c r="AD16" s="369"/>
      <c r="AE16" s="369"/>
      <c r="AF16" s="369"/>
      <c r="AG16" s="369">
        <v>0.1</v>
      </c>
      <c r="AH16" s="369">
        <v>0.2</v>
      </c>
      <c r="AI16" s="369">
        <v>0.9</v>
      </c>
      <c r="AJ16" s="369">
        <v>1.6</v>
      </c>
      <c r="AK16" s="369">
        <v>1.4</v>
      </c>
      <c r="AL16" s="370">
        <v>1.014</v>
      </c>
    </row>
    <row r="17" spans="1:38" s="219" customFormat="1" x14ac:dyDescent="0.25">
      <c r="A17" s="216" t="s">
        <v>274</v>
      </c>
      <c r="B17" s="217">
        <v>66362</v>
      </c>
      <c r="C17" s="218">
        <f t="shared" si="7"/>
        <v>796344</v>
      </c>
      <c r="E17" s="231">
        <v>9</v>
      </c>
      <c r="F17" s="226"/>
      <c r="G17" s="227">
        <f t="shared" si="0"/>
        <v>0</v>
      </c>
      <c r="H17" s="226">
        <f t="shared" si="1"/>
        <v>0</v>
      </c>
      <c r="I17" s="232">
        <f t="shared" si="10"/>
        <v>0</v>
      </c>
      <c r="J17" s="183"/>
      <c r="K17" s="231">
        <v>9</v>
      </c>
      <c r="L17" s="226"/>
      <c r="M17" s="227">
        <f t="shared" si="3"/>
        <v>0</v>
      </c>
      <c r="N17" s="226">
        <f t="shared" si="4"/>
        <v>0</v>
      </c>
      <c r="O17" s="232">
        <f t="shared" si="5"/>
        <v>0</v>
      </c>
      <c r="P17" s="183"/>
      <c r="Q17" s="379" t="s">
        <v>274</v>
      </c>
      <c r="R17" s="183"/>
      <c r="S17" s="57">
        <v>1.25E-3</v>
      </c>
      <c r="T17" s="183">
        <f t="shared" si="6"/>
        <v>0</v>
      </c>
      <c r="U17" s="380">
        <f t="shared" si="8"/>
        <v>1.0049999999999999</v>
      </c>
      <c r="V17" s="173">
        <f t="shared" si="9"/>
        <v>0</v>
      </c>
      <c r="Y17" s="368" t="s">
        <v>273</v>
      </c>
      <c r="Z17" s="369"/>
      <c r="AA17" s="369"/>
      <c r="AB17" s="369"/>
      <c r="AC17" s="369"/>
      <c r="AD17" s="369"/>
      <c r="AE17" s="369"/>
      <c r="AF17" s="369"/>
      <c r="AG17" s="369"/>
      <c r="AH17" s="369">
        <v>0.1</v>
      </c>
      <c r="AI17" s="369">
        <v>0.8</v>
      </c>
      <c r="AJ17" s="369">
        <v>1.5</v>
      </c>
      <c r="AK17" s="369">
        <v>1.3</v>
      </c>
      <c r="AL17" s="370">
        <v>1.0129999999999999</v>
      </c>
    </row>
    <row r="18" spans="1:38" s="219" customFormat="1" x14ac:dyDescent="0.25">
      <c r="A18" s="216" t="s">
        <v>275</v>
      </c>
      <c r="B18" s="217">
        <v>66561</v>
      </c>
      <c r="C18" s="218">
        <f t="shared" si="7"/>
        <v>798732</v>
      </c>
      <c r="E18" s="231">
        <v>10</v>
      </c>
      <c r="F18" s="226"/>
      <c r="G18" s="227">
        <f t="shared" si="0"/>
        <v>0</v>
      </c>
      <c r="H18" s="226">
        <f t="shared" si="1"/>
        <v>0</v>
      </c>
      <c r="I18" s="232">
        <f t="shared" si="10"/>
        <v>0</v>
      </c>
      <c r="J18" s="183"/>
      <c r="K18" s="231">
        <v>10</v>
      </c>
      <c r="L18" s="226"/>
      <c r="M18" s="227">
        <f t="shared" si="3"/>
        <v>0</v>
      </c>
      <c r="N18" s="226">
        <f t="shared" si="4"/>
        <v>0</v>
      </c>
      <c r="O18" s="232">
        <f t="shared" si="5"/>
        <v>0</v>
      </c>
      <c r="P18" s="183"/>
      <c r="Q18" s="379" t="s">
        <v>275</v>
      </c>
      <c r="R18" s="183"/>
      <c r="S18" s="57">
        <v>1.25E-3</v>
      </c>
      <c r="T18" s="183">
        <f t="shared" si="6"/>
        <v>0</v>
      </c>
      <c r="U18" s="380">
        <f t="shared" si="8"/>
        <v>1</v>
      </c>
      <c r="V18" s="173">
        <f t="shared" si="9"/>
        <v>0</v>
      </c>
      <c r="Y18" s="368" t="s">
        <v>274</v>
      </c>
      <c r="Z18" s="369"/>
      <c r="AA18" s="369"/>
      <c r="AB18" s="369"/>
      <c r="AC18" s="369"/>
      <c r="AD18" s="369"/>
      <c r="AE18" s="369"/>
      <c r="AF18" s="369"/>
      <c r="AG18" s="369"/>
      <c r="AH18" s="369"/>
      <c r="AI18" s="369">
        <v>0.6</v>
      </c>
      <c r="AJ18" s="369">
        <v>1.3</v>
      </c>
      <c r="AK18" s="369">
        <v>1.2</v>
      </c>
      <c r="AL18" s="370">
        <v>1.012</v>
      </c>
    </row>
    <row r="19" spans="1:38" s="219" customFormat="1" x14ac:dyDescent="0.25">
      <c r="A19" s="216" t="s">
        <v>276</v>
      </c>
      <c r="B19" s="217">
        <v>66628</v>
      </c>
      <c r="C19" s="218">
        <f t="shared" si="7"/>
        <v>799536</v>
      </c>
      <c r="E19" s="231">
        <v>11</v>
      </c>
      <c r="F19" s="226"/>
      <c r="G19" s="227">
        <f t="shared" si="0"/>
        <v>0</v>
      </c>
      <c r="H19" s="226">
        <f t="shared" si="1"/>
        <v>0</v>
      </c>
      <c r="I19" s="232">
        <f t="shared" si="10"/>
        <v>0</v>
      </c>
      <c r="J19" s="183"/>
      <c r="K19" s="231">
        <v>11</v>
      </c>
      <c r="L19" s="226"/>
      <c r="M19" s="227">
        <f t="shared" si="3"/>
        <v>0</v>
      </c>
      <c r="N19" s="226">
        <f t="shared" si="4"/>
        <v>0</v>
      </c>
      <c r="O19" s="232">
        <f t="shared" si="5"/>
        <v>0</v>
      </c>
      <c r="P19" s="183"/>
      <c r="Q19" s="379" t="s">
        <v>276</v>
      </c>
      <c r="R19" s="183"/>
      <c r="S19" s="57">
        <v>1.25E-3</v>
      </c>
      <c r="T19" s="183">
        <f t="shared" si="6"/>
        <v>0</v>
      </c>
      <c r="U19" s="380">
        <f t="shared" si="8"/>
        <v>1</v>
      </c>
      <c r="V19" s="173">
        <f t="shared" si="9"/>
        <v>0</v>
      </c>
      <c r="Y19" s="368" t="s">
        <v>275</v>
      </c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>
        <v>0.7</v>
      </c>
      <c r="AK19" s="369">
        <v>0.5</v>
      </c>
      <c r="AL19" s="370">
        <v>1.0049999999999999</v>
      </c>
    </row>
    <row r="20" spans="1:38" s="219" customFormat="1" x14ac:dyDescent="0.25">
      <c r="A20" s="216" t="s">
        <v>277</v>
      </c>
      <c r="B20" s="217">
        <v>67294</v>
      </c>
      <c r="C20" s="218">
        <f t="shared" si="7"/>
        <v>807528</v>
      </c>
      <c r="E20" s="233">
        <v>12</v>
      </c>
      <c r="F20" s="234"/>
      <c r="G20" s="235">
        <f t="shared" si="0"/>
        <v>0</v>
      </c>
      <c r="H20" s="234">
        <f t="shared" si="1"/>
        <v>0</v>
      </c>
      <c r="I20" s="236">
        <f t="shared" si="10"/>
        <v>0</v>
      </c>
      <c r="J20" s="183"/>
      <c r="K20" s="233">
        <v>12</v>
      </c>
      <c r="L20" s="234"/>
      <c r="M20" s="235">
        <f t="shared" si="3"/>
        <v>0</v>
      </c>
      <c r="N20" s="234">
        <f t="shared" si="4"/>
        <v>0</v>
      </c>
      <c r="O20" s="236">
        <f t="shared" si="5"/>
        <v>0</v>
      </c>
      <c r="P20" s="183"/>
      <c r="Q20" s="184" t="s">
        <v>277</v>
      </c>
      <c r="R20" s="185"/>
      <c r="S20" s="186">
        <f>+S19</f>
        <v>1.25E-3</v>
      </c>
      <c r="T20" s="185">
        <f t="shared" si="6"/>
        <v>0</v>
      </c>
      <c r="U20" s="186"/>
      <c r="V20" s="187">
        <f t="shared" si="9"/>
        <v>0</v>
      </c>
      <c r="Y20" s="368" t="s">
        <v>276</v>
      </c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69">
        <v>-0.1</v>
      </c>
      <c r="AL20" s="370">
        <v>1</v>
      </c>
    </row>
    <row r="21" spans="1:38" s="219" customFormat="1" x14ac:dyDescent="0.25">
      <c r="A21" s="220" t="s">
        <v>266</v>
      </c>
      <c r="B21" s="221"/>
      <c r="C21" s="222">
        <f t="shared" si="7"/>
        <v>0</v>
      </c>
      <c r="D21" s="223"/>
      <c r="F21" s="224" t="s">
        <v>17</v>
      </c>
      <c r="G21" s="225"/>
      <c r="H21" s="224"/>
      <c r="I21" s="224">
        <f>SUM(I9:I20)</f>
        <v>3315</v>
      </c>
      <c r="J21" s="183"/>
      <c r="L21" s="226" t="s">
        <v>17</v>
      </c>
      <c r="M21" s="227"/>
      <c r="N21" s="226"/>
      <c r="O21" s="226">
        <f>SUM(O9:O20)</f>
        <v>0</v>
      </c>
      <c r="P21" s="183"/>
      <c r="Q21" s="54" t="s">
        <v>250</v>
      </c>
      <c r="R21" s="56">
        <f>SUM(R9:R20)</f>
        <v>9327670</v>
      </c>
      <c r="S21" s="55"/>
      <c r="T21" s="56">
        <f>SUM(T9:T20)</f>
        <v>11660</v>
      </c>
      <c r="V21" s="56">
        <f>SUM(V9:V20)</f>
        <v>11811.579999999998</v>
      </c>
      <c r="Y21" s="372" t="s">
        <v>277</v>
      </c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  <c r="AJ21" s="373"/>
      <c r="AK21" s="373">
        <v>0</v>
      </c>
      <c r="AL21" s="374">
        <v>1</v>
      </c>
    </row>
    <row r="22" spans="1:38" x14ac:dyDescent="0.25">
      <c r="A22" s="576" t="s">
        <v>394</v>
      </c>
      <c r="B22" s="576"/>
      <c r="C22" s="576"/>
      <c r="D22" s="576"/>
      <c r="E22" s="576"/>
      <c r="F22" s="576"/>
      <c r="G22" s="576"/>
      <c r="H22" s="45"/>
      <c r="U22" s="59" t="s">
        <v>295</v>
      </c>
      <c r="V22" s="76">
        <f>+V21-T21</f>
        <v>151.57999999999811</v>
      </c>
    </row>
    <row r="23" spans="1:38" x14ac:dyDescent="0.25">
      <c r="A23" s="576" t="s">
        <v>395</v>
      </c>
      <c r="B23" s="576"/>
      <c r="C23" s="576"/>
      <c r="D23" s="576"/>
      <c r="E23" s="576"/>
      <c r="F23" s="576"/>
      <c r="G23" s="576"/>
      <c r="H23" s="45"/>
    </row>
    <row r="24" spans="1:38" ht="30" customHeight="1" x14ac:dyDescent="0.25">
      <c r="A24" s="576" t="s">
        <v>396</v>
      </c>
      <c r="B24" s="576"/>
      <c r="C24" s="576"/>
      <c r="D24" s="576"/>
      <c r="E24" s="576"/>
      <c r="F24" s="576"/>
      <c r="G24" s="576"/>
      <c r="H24" s="45"/>
    </row>
    <row r="25" spans="1:38" ht="15.75" customHeight="1" x14ac:dyDescent="0.25">
      <c r="A25" s="576" t="s">
        <v>397</v>
      </c>
      <c r="B25" s="576"/>
      <c r="C25" s="576"/>
      <c r="D25" s="576"/>
      <c r="E25" s="576"/>
      <c r="F25" s="576"/>
      <c r="G25" s="576"/>
      <c r="H25" s="45"/>
    </row>
    <row r="26" spans="1:38" x14ac:dyDescent="0.25">
      <c r="A26" s="576" t="s">
        <v>398</v>
      </c>
      <c r="B26" s="576"/>
      <c r="C26" s="576"/>
      <c r="D26" s="576"/>
      <c r="E26" s="576"/>
      <c r="F26" s="576"/>
      <c r="G26" s="576"/>
      <c r="H26" s="45"/>
    </row>
    <row r="27" spans="1:38" ht="49.5" customHeight="1" x14ac:dyDescent="0.25">
      <c r="A27" s="576" t="s">
        <v>399</v>
      </c>
      <c r="B27" s="576"/>
      <c r="C27" s="576"/>
      <c r="D27" s="576"/>
      <c r="E27" s="576"/>
      <c r="F27" s="576"/>
      <c r="G27" s="576"/>
      <c r="H27" s="45"/>
    </row>
    <row r="28" spans="1:38" x14ac:dyDescent="0.25">
      <c r="N28" s="172"/>
      <c r="O28" s="172"/>
      <c r="P28" s="172"/>
    </row>
    <row r="29" spans="1:38" ht="15.75" customHeight="1" x14ac:dyDescent="0.25">
      <c r="N29" s="172"/>
      <c r="O29" s="172"/>
      <c r="P29" s="172"/>
    </row>
    <row r="30" spans="1:38" x14ac:dyDescent="0.25">
      <c r="N30" s="172"/>
      <c r="O30" s="172"/>
      <c r="P30" s="172"/>
    </row>
    <row r="31" spans="1:38" ht="15.75" customHeight="1" x14ac:dyDescent="0.25">
      <c r="N31" s="172"/>
      <c r="O31" s="172"/>
      <c r="P31" s="172"/>
    </row>
    <row r="32" spans="1:38" ht="15.75" customHeight="1" x14ac:dyDescent="0.25">
      <c r="N32" s="172"/>
      <c r="O32" s="172"/>
      <c r="P32" s="172"/>
    </row>
    <row r="33" spans="14:16" x14ac:dyDescent="0.25">
      <c r="N33" s="172"/>
      <c r="O33" s="172"/>
      <c r="P33" s="172"/>
    </row>
    <row r="34" spans="14:16" ht="15.75" customHeight="1" x14ac:dyDescent="0.25">
      <c r="N34" s="172"/>
      <c r="O34" s="172"/>
      <c r="P34" s="172"/>
    </row>
    <row r="35" spans="14:16" x14ac:dyDescent="0.25">
      <c r="N35" s="172"/>
      <c r="O35" s="172"/>
      <c r="P35" s="172"/>
    </row>
    <row r="36" spans="14:16" ht="15.75" customHeight="1" x14ac:dyDescent="0.25">
      <c r="N36" s="172"/>
      <c r="O36" s="172"/>
      <c r="P36" s="172"/>
    </row>
    <row r="37" spans="14:16" x14ac:dyDescent="0.25">
      <c r="N37" s="172"/>
      <c r="O37" s="172"/>
      <c r="P37" s="172"/>
    </row>
    <row r="45" spans="14:16" ht="15" customHeight="1" x14ac:dyDescent="0.25"/>
    <row r="47" spans="14:16" ht="15" customHeight="1" x14ac:dyDescent="0.25"/>
    <row r="50" ht="15" customHeight="1" x14ac:dyDescent="0.25"/>
    <row r="54" ht="15" customHeight="1" x14ac:dyDescent="0.25"/>
    <row r="55" ht="15" customHeight="1" x14ac:dyDescent="0.25"/>
    <row r="65" ht="28.5" customHeight="1" x14ac:dyDescent="0.25"/>
  </sheetData>
  <mergeCells count="9">
    <mergeCell ref="A24:G24"/>
    <mergeCell ref="A25:G25"/>
    <mergeCell ref="A26:G26"/>
    <mergeCell ref="A27:G27"/>
    <mergeCell ref="A7:A8"/>
    <mergeCell ref="B7:B8"/>
    <mergeCell ref="C7:C8"/>
    <mergeCell ref="A22:G22"/>
    <mergeCell ref="A23:G2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60E5-6376-473E-BC3E-7ABA836DBAEE}">
  <dimension ref="A5:T31"/>
  <sheetViews>
    <sheetView showGridLines="0" zoomScale="80" zoomScaleNormal="80" workbookViewId="0">
      <selection activeCell="K31" sqref="K31"/>
    </sheetView>
  </sheetViews>
  <sheetFormatPr baseColWidth="10" defaultRowHeight="15" x14ac:dyDescent="0.25"/>
  <cols>
    <col min="1" max="1" width="11.42578125" style="1"/>
    <col min="2" max="2" width="12" style="1" bestFit="1" customWidth="1"/>
    <col min="3" max="3" width="12.7109375" style="211" bestFit="1" customWidth="1"/>
    <col min="4" max="4" width="16" style="211" customWidth="1"/>
    <col min="5" max="5" width="12" style="211" bestFit="1" customWidth="1"/>
    <col min="6" max="6" width="12.7109375" style="211" customWidth="1"/>
    <col min="7" max="7" width="12.85546875" style="211" customWidth="1"/>
    <col min="8" max="8" width="11.42578125" style="211"/>
    <col min="9" max="9" width="14.28515625" style="211" customWidth="1"/>
    <col min="10" max="10" width="15.140625" style="211" customWidth="1"/>
    <col min="11" max="11" width="14.7109375" style="211" customWidth="1"/>
    <col min="12" max="12" width="11.28515625" style="207" bestFit="1" customWidth="1"/>
    <col min="13" max="13" width="14.140625" style="211" bestFit="1" customWidth="1"/>
    <col min="14" max="14" width="6.5703125" style="1" bestFit="1" customWidth="1"/>
    <col min="15" max="15" width="11.28515625" style="1" bestFit="1" customWidth="1"/>
    <col min="16" max="16" width="14.140625" style="1" bestFit="1" customWidth="1"/>
    <col min="17" max="17" width="11.28515625" style="1" bestFit="1" customWidth="1"/>
    <col min="18" max="19" width="13.85546875" style="1" bestFit="1" customWidth="1"/>
    <col min="20" max="20" width="10.85546875" style="1" bestFit="1" customWidth="1"/>
    <col min="21" max="16384" width="11.42578125" style="1"/>
  </cols>
  <sheetData>
    <row r="5" spans="1:20" ht="20.25" x14ac:dyDescent="0.3">
      <c r="F5" s="583" t="s">
        <v>499</v>
      </c>
      <c r="G5" s="583"/>
      <c r="H5" s="583"/>
      <c r="I5" s="583"/>
      <c r="J5" s="583"/>
      <c r="K5" s="583"/>
      <c r="L5" s="583"/>
      <c r="M5" s="583"/>
    </row>
    <row r="8" spans="1:20" ht="29.25" x14ac:dyDescent="0.25">
      <c r="A8" s="237" t="s">
        <v>477</v>
      </c>
      <c r="B8" s="238" t="s">
        <v>478</v>
      </c>
      <c r="C8" s="239" t="s">
        <v>479</v>
      </c>
      <c r="D8" s="239" t="s">
        <v>480</v>
      </c>
      <c r="E8" s="239" t="s">
        <v>481</v>
      </c>
      <c r="F8" s="239" t="s">
        <v>482</v>
      </c>
      <c r="G8" s="239" t="s">
        <v>496</v>
      </c>
      <c r="H8" s="239" t="s">
        <v>483</v>
      </c>
      <c r="I8" s="239" t="s">
        <v>484</v>
      </c>
      <c r="J8" s="239" t="s">
        <v>485</v>
      </c>
      <c r="K8" s="239" t="s">
        <v>486</v>
      </c>
      <c r="L8" s="240" t="s">
        <v>495</v>
      </c>
      <c r="M8" s="239" t="s">
        <v>487</v>
      </c>
      <c r="N8" s="241" t="s">
        <v>488</v>
      </c>
      <c r="O8" s="242" t="s">
        <v>489</v>
      </c>
      <c r="P8" s="240" t="s">
        <v>497</v>
      </c>
      <c r="Q8" s="241" t="s">
        <v>490</v>
      </c>
      <c r="R8" s="241" t="s">
        <v>491</v>
      </c>
      <c r="S8" s="241" t="s">
        <v>492</v>
      </c>
      <c r="T8" s="243" t="s">
        <v>493</v>
      </c>
    </row>
    <row r="9" spans="1:20" x14ac:dyDescent="0.25">
      <c r="A9" s="190">
        <v>45504</v>
      </c>
      <c r="B9" s="191">
        <v>40171210</v>
      </c>
      <c r="C9" s="192">
        <v>371.34</v>
      </c>
      <c r="D9" s="208">
        <v>40</v>
      </c>
      <c r="E9" s="192">
        <v>7.43</v>
      </c>
      <c r="F9" s="208">
        <f>C9+D9+E9</f>
        <v>418.77</v>
      </c>
      <c r="G9" s="208">
        <v>25.13</v>
      </c>
      <c r="H9" s="208"/>
      <c r="I9" s="208"/>
      <c r="J9" s="192">
        <f>SUM(F9:I9)</f>
        <v>443.9</v>
      </c>
      <c r="K9" s="192">
        <f>J9*0.19</f>
        <v>84.340999999999994</v>
      </c>
      <c r="L9" s="193">
        <f>K9*N9</f>
        <v>68004.148299999986</v>
      </c>
      <c r="M9" s="192">
        <f>K9+G9+H9+I9</f>
        <v>109.47099999999999</v>
      </c>
      <c r="N9" s="88">
        <v>806.3</v>
      </c>
      <c r="O9" s="193">
        <f>+N9*M9</f>
        <v>88266.467299999989</v>
      </c>
      <c r="P9" s="193">
        <v>88266</v>
      </c>
      <c r="Q9" s="194">
        <f>P9-O9</f>
        <v>-0.46729999998933636</v>
      </c>
      <c r="R9" s="195" t="s">
        <v>494</v>
      </c>
      <c r="S9" s="88">
        <v>17</v>
      </c>
      <c r="T9" s="196">
        <f>+A9</f>
        <v>45504</v>
      </c>
    </row>
    <row r="10" spans="1:20" x14ac:dyDescent="0.25">
      <c r="A10" s="190">
        <v>45504</v>
      </c>
      <c r="B10" s="191">
        <v>40171347</v>
      </c>
      <c r="C10" s="192">
        <v>351.65</v>
      </c>
      <c r="D10" s="208">
        <v>30</v>
      </c>
      <c r="E10" s="192">
        <v>7.03</v>
      </c>
      <c r="F10" s="208">
        <f t="shared" ref="F10:F16" si="0">C10+D10+E10</f>
        <v>388.67999999999995</v>
      </c>
      <c r="G10" s="208">
        <v>23.32</v>
      </c>
      <c r="H10" s="208"/>
      <c r="I10" s="208"/>
      <c r="J10" s="192">
        <f>SUM(F10:I10)</f>
        <v>411.99999999999994</v>
      </c>
      <c r="K10" s="192">
        <f t="shared" ref="K10:K16" si="1">J10*0.19</f>
        <v>78.279999999999987</v>
      </c>
      <c r="L10" s="193">
        <f t="shared" ref="L10:L16" si="2">K10*N10</f>
        <v>63117.163999999982</v>
      </c>
      <c r="M10" s="192">
        <f t="shared" ref="M10:M16" si="3">K10+G10+H10+I10</f>
        <v>101.6</v>
      </c>
      <c r="N10" s="88">
        <f>N9</f>
        <v>806.3</v>
      </c>
      <c r="O10" s="193">
        <f t="shared" ref="O10:O16" si="4">+N10*M10</f>
        <v>81920.079999999987</v>
      </c>
      <c r="P10" s="193">
        <v>81920</v>
      </c>
      <c r="Q10" s="194">
        <f t="shared" ref="Q10:Q16" si="5">P10-O10</f>
        <v>-7.9999999987194315E-2</v>
      </c>
      <c r="R10" s="195" t="s">
        <v>494</v>
      </c>
      <c r="S10" s="88">
        <v>17</v>
      </c>
      <c r="T10" s="196">
        <f t="shared" ref="T10:T16" si="6">+A10</f>
        <v>45504</v>
      </c>
    </row>
    <row r="11" spans="1:20" x14ac:dyDescent="0.25">
      <c r="A11" s="190">
        <v>45504</v>
      </c>
      <c r="B11" s="191">
        <v>40171537</v>
      </c>
      <c r="C11" s="192">
        <v>130.24</v>
      </c>
      <c r="D11" s="208">
        <v>20</v>
      </c>
      <c r="E11" s="192">
        <v>2.6</v>
      </c>
      <c r="F11" s="208">
        <f t="shared" si="0"/>
        <v>152.84</v>
      </c>
      <c r="G11" s="208">
        <v>9.17</v>
      </c>
      <c r="H11" s="208"/>
      <c r="I11" s="208"/>
      <c r="J11" s="192">
        <f t="shared" ref="J10:J16" si="7">SUM(F11:I11)</f>
        <v>162.01</v>
      </c>
      <c r="K11" s="192">
        <f t="shared" si="1"/>
        <v>30.7819</v>
      </c>
      <c r="L11" s="193">
        <f t="shared" si="2"/>
        <v>24819.445969999997</v>
      </c>
      <c r="M11" s="192">
        <f t="shared" si="3"/>
        <v>39.951900000000002</v>
      </c>
      <c r="N11" s="88">
        <f t="shared" ref="N11:N16" si="8">N10</f>
        <v>806.3</v>
      </c>
      <c r="O11" s="193">
        <f t="shared" si="4"/>
        <v>32213.216970000001</v>
      </c>
      <c r="P11" s="193">
        <v>32212</v>
      </c>
      <c r="Q11" s="194">
        <f t="shared" si="5"/>
        <v>-1.2169700000013108</v>
      </c>
      <c r="R11" s="195" t="s">
        <v>494</v>
      </c>
      <c r="S11" s="88">
        <v>17</v>
      </c>
      <c r="T11" s="196">
        <f t="shared" si="6"/>
        <v>45504</v>
      </c>
    </row>
    <row r="12" spans="1:20" x14ac:dyDescent="0.25">
      <c r="A12" s="190">
        <v>45504</v>
      </c>
      <c r="B12" s="191">
        <v>40171768</v>
      </c>
      <c r="C12" s="192">
        <v>49.95</v>
      </c>
      <c r="D12" s="208">
        <v>10</v>
      </c>
      <c r="E12" s="192">
        <v>1</v>
      </c>
      <c r="F12" s="208">
        <f t="shared" si="0"/>
        <v>60.95</v>
      </c>
      <c r="G12" s="208">
        <v>3.66</v>
      </c>
      <c r="H12" s="208"/>
      <c r="I12" s="208">
        <v>0.66</v>
      </c>
      <c r="J12" s="192">
        <f t="shared" si="7"/>
        <v>65.27</v>
      </c>
      <c r="K12" s="192">
        <f t="shared" si="1"/>
        <v>12.401299999999999</v>
      </c>
      <c r="L12" s="193">
        <f t="shared" si="2"/>
        <v>9999.1681899999985</v>
      </c>
      <c r="M12" s="192">
        <f t="shared" si="3"/>
        <v>16.721299999999999</v>
      </c>
      <c r="N12" s="88">
        <f t="shared" si="8"/>
        <v>806.3</v>
      </c>
      <c r="O12" s="193">
        <f t="shared" si="4"/>
        <v>13482.384189999999</v>
      </c>
      <c r="P12" s="193">
        <v>13489</v>
      </c>
      <c r="Q12" s="194">
        <f t="shared" si="5"/>
        <v>6.6158100000011473</v>
      </c>
      <c r="R12" s="195" t="s">
        <v>494</v>
      </c>
      <c r="S12" s="88">
        <v>17</v>
      </c>
      <c r="T12" s="196">
        <f t="shared" si="6"/>
        <v>45504</v>
      </c>
    </row>
    <row r="13" spans="1:20" x14ac:dyDescent="0.25">
      <c r="A13" s="190">
        <v>45504</v>
      </c>
      <c r="B13" s="191">
        <v>40171933</v>
      </c>
      <c r="C13" s="192">
        <v>834.82</v>
      </c>
      <c r="D13" s="208">
        <v>212.5</v>
      </c>
      <c r="E13" s="192">
        <v>16.7</v>
      </c>
      <c r="F13" s="208">
        <f t="shared" si="0"/>
        <v>1064.0200000000002</v>
      </c>
      <c r="G13" s="208">
        <v>63.84</v>
      </c>
      <c r="H13" s="208"/>
      <c r="I13" s="208"/>
      <c r="J13" s="192">
        <f t="shared" si="7"/>
        <v>1127.8600000000001</v>
      </c>
      <c r="K13" s="192">
        <f t="shared" si="1"/>
        <v>214.29340000000002</v>
      </c>
      <c r="L13" s="193">
        <f t="shared" si="2"/>
        <v>172784.76842000001</v>
      </c>
      <c r="M13" s="192">
        <f t="shared" si="3"/>
        <v>278.13340000000005</v>
      </c>
      <c r="N13" s="88">
        <f t="shared" si="8"/>
        <v>806.3</v>
      </c>
      <c r="O13" s="193">
        <f t="shared" si="4"/>
        <v>224258.96042000002</v>
      </c>
      <c r="P13" s="193">
        <v>224256</v>
      </c>
      <c r="Q13" s="194">
        <f t="shared" si="5"/>
        <v>-2.9604200000176206</v>
      </c>
      <c r="R13" s="195" t="s">
        <v>494</v>
      </c>
      <c r="S13" s="88">
        <v>17</v>
      </c>
      <c r="T13" s="196">
        <f t="shared" si="6"/>
        <v>45504</v>
      </c>
    </row>
    <row r="14" spans="1:20" x14ac:dyDescent="0.25">
      <c r="A14" s="190">
        <v>45504</v>
      </c>
      <c r="B14" s="191">
        <v>800214877</v>
      </c>
      <c r="C14" s="192">
        <v>316.97000000000003</v>
      </c>
      <c r="D14" s="208">
        <v>142.77000000000001</v>
      </c>
      <c r="E14" s="208">
        <v>6.34</v>
      </c>
      <c r="F14" s="208">
        <f t="shared" si="0"/>
        <v>466.08</v>
      </c>
      <c r="G14" s="208"/>
      <c r="H14" s="208"/>
      <c r="I14" s="208">
        <v>2.0099999999999998</v>
      </c>
      <c r="J14" s="192">
        <f t="shared" si="7"/>
        <v>468.09</v>
      </c>
      <c r="K14" s="192">
        <f t="shared" si="1"/>
        <v>88.937100000000001</v>
      </c>
      <c r="L14" s="193">
        <f t="shared" si="2"/>
        <v>71709.983729999993</v>
      </c>
      <c r="M14" s="192">
        <f t="shared" si="3"/>
        <v>90.947100000000006</v>
      </c>
      <c r="N14" s="88">
        <f t="shared" si="8"/>
        <v>806.3</v>
      </c>
      <c r="O14" s="193">
        <f t="shared" si="4"/>
        <v>73330.646730000008</v>
      </c>
      <c r="P14" s="193">
        <v>73333</v>
      </c>
      <c r="Q14" s="194">
        <f t="shared" si="5"/>
        <v>2.3532699999923352</v>
      </c>
      <c r="R14" s="195" t="s">
        <v>494</v>
      </c>
      <c r="S14" s="88">
        <v>17</v>
      </c>
      <c r="T14" s="196">
        <f t="shared" si="6"/>
        <v>45504</v>
      </c>
    </row>
    <row r="15" spans="1:20" x14ac:dyDescent="0.25">
      <c r="A15" s="190">
        <v>45504</v>
      </c>
      <c r="B15" s="88">
        <v>800217938</v>
      </c>
      <c r="C15" s="192">
        <v>37.020000000000003</v>
      </c>
      <c r="D15" s="208">
        <v>148.54</v>
      </c>
      <c r="E15" s="208">
        <v>0.74</v>
      </c>
      <c r="F15" s="208">
        <f t="shared" si="0"/>
        <v>186.3</v>
      </c>
      <c r="G15" s="208"/>
      <c r="H15" s="208"/>
      <c r="I15" s="208">
        <v>2.0099999999999998</v>
      </c>
      <c r="J15" s="192">
        <f t="shared" si="7"/>
        <v>188.31</v>
      </c>
      <c r="K15" s="192">
        <f t="shared" si="1"/>
        <v>35.7789</v>
      </c>
      <c r="L15" s="193">
        <f t="shared" si="2"/>
        <v>28848.52707</v>
      </c>
      <c r="M15" s="192">
        <f t="shared" si="3"/>
        <v>37.788899999999998</v>
      </c>
      <c r="N15" s="88">
        <f t="shared" si="8"/>
        <v>806.3</v>
      </c>
      <c r="O15" s="193">
        <f t="shared" si="4"/>
        <v>30469.190069999997</v>
      </c>
      <c r="P15" s="193">
        <v>30470</v>
      </c>
      <c r="Q15" s="194">
        <f t="shared" si="5"/>
        <v>0.80993000000307802</v>
      </c>
      <c r="R15" s="195" t="s">
        <v>494</v>
      </c>
      <c r="S15" s="88">
        <v>17</v>
      </c>
      <c r="T15" s="196">
        <f t="shared" si="6"/>
        <v>45504</v>
      </c>
    </row>
    <row r="16" spans="1:20" x14ac:dyDescent="0.25">
      <c r="A16" s="190">
        <v>45504</v>
      </c>
      <c r="B16" s="88">
        <v>2810015626</v>
      </c>
      <c r="C16" s="208">
        <v>4143.7</v>
      </c>
      <c r="D16" s="208">
        <v>337.08</v>
      </c>
      <c r="E16" s="208">
        <v>82.87</v>
      </c>
      <c r="F16" s="208">
        <f t="shared" si="0"/>
        <v>4563.6499999999996</v>
      </c>
      <c r="G16" s="208"/>
      <c r="H16" s="208"/>
      <c r="I16" s="208">
        <v>2.8</v>
      </c>
      <c r="J16" s="192">
        <f t="shared" si="7"/>
        <v>4566.45</v>
      </c>
      <c r="K16" s="192">
        <f t="shared" si="1"/>
        <v>867.62549999999999</v>
      </c>
      <c r="L16" s="193">
        <f t="shared" si="2"/>
        <v>699566.44065</v>
      </c>
      <c r="M16" s="192">
        <f t="shared" si="3"/>
        <v>870.42549999999994</v>
      </c>
      <c r="N16" s="88">
        <f t="shared" si="8"/>
        <v>806.3</v>
      </c>
      <c r="O16" s="193">
        <f t="shared" si="4"/>
        <v>701824.0806499999</v>
      </c>
      <c r="P16" s="193">
        <v>701820</v>
      </c>
      <c r="Q16" s="194">
        <f t="shared" si="5"/>
        <v>-4.0806499999016523</v>
      </c>
      <c r="R16" s="195" t="s">
        <v>494</v>
      </c>
      <c r="S16" s="88">
        <v>15</v>
      </c>
      <c r="T16" s="196">
        <f t="shared" si="6"/>
        <v>45504</v>
      </c>
    </row>
    <row r="17" spans="1:20" x14ac:dyDescent="0.25">
      <c r="A17" s="197"/>
      <c r="B17" s="198"/>
      <c r="C17" s="200"/>
      <c r="D17" s="200"/>
      <c r="E17" s="200"/>
      <c r="F17" s="209"/>
      <c r="G17" s="200"/>
      <c r="H17" s="200"/>
      <c r="I17" s="200"/>
      <c r="J17" s="200"/>
      <c r="K17" s="200"/>
      <c r="L17" s="201"/>
      <c r="M17" s="200"/>
      <c r="N17" s="199"/>
      <c r="O17" s="201"/>
      <c r="P17" s="201"/>
      <c r="Q17" s="202"/>
      <c r="R17" s="203"/>
      <c r="S17" s="199"/>
      <c r="T17" s="204"/>
    </row>
    <row r="18" spans="1:20" x14ac:dyDescent="0.25">
      <c r="A18" s="190"/>
      <c r="B18" s="205" t="s">
        <v>250</v>
      </c>
      <c r="C18" s="210">
        <f>SUM(C9:C17)</f>
        <v>6235.6900000000005</v>
      </c>
      <c r="D18" s="210">
        <f t="shared" ref="D18:F18" si="9">SUM(D9:D17)</f>
        <v>940.88999999999987</v>
      </c>
      <c r="E18" s="210">
        <f t="shared" si="9"/>
        <v>124.71000000000001</v>
      </c>
      <c r="F18" s="210">
        <f t="shared" si="9"/>
        <v>7301.29</v>
      </c>
      <c r="G18" s="210">
        <f t="shared" ref="G18" si="10">SUM(G9:G17)</f>
        <v>125.12</v>
      </c>
      <c r="H18" s="210">
        <f t="shared" ref="H18" si="11">SUM(H9:H17)</f>
        <v>0</v>
      </c>
      <c r="I18" s="210">
        <f t="shared" ref="I18" si="12">SUM(I9:I17)</f>
        <v>7.4799999999999995</v>
      </c>
      <c r="J18" s="210">
        <f t="shared" ref="J18" si="13">SUM(J9:J17)</f>
        <v>7433.8899999999994</v>
      </c>
      <c r="K18" s="210">
        <f t="shared" ref="K18" si="14">SUM(K9:K17)</f>
        <v>1412.4391000000001</v>
      </c>
      <c r="L18" s="206">
        <f>SUM(L9:L17)</f>
        <v>1138849.6463299999</v>
      </c>
      <c r="M18" s="210">
        <f t="shared" ref="M18" si="15">SUM(M9:M17)</f>
        <v>1545.0391</v>
      </c>
      <c r="N18" s="206"/>
      <c r="O18" s="206">
        <f>SUM(O9:O17)</f>
        <v>1245765.0263299998</v>
      </c>
      <c r="P18" s="210">
        <f t="shared" ref="P18" si="16">SUM(P9:P17)</f>
        <v>1245766</v>
      </c>
      <c r="Q18" s="88"/>
      <c r="R18" s="195"/>
      <c r="S18" s="88"/>
      <c r="T18" s="88"/>
    </row>
    <row r="20" spans="1:20" x14ac:dyDescent="0.25">
      <c r="K20" s="86">
        <v>0.19</v>
      </c>
      <c r="L20" s="211"/>
    </row>
    <row r="21" spans="1:20" ht="29.25" x14ac:dyDescent="0.25">
      <c r="A21" s="74" t="s">
        <v>304</v>
      </c>
      <c r="B21" s="74" t="s">
        <v>354</v>
      </c>
      <c r="C21" s="74" t="s">
        <v>355</v>
      </c>
      <c r="D21" s="74" t="s">
        <v>307</v>
      </c>
      <c r="E21" s="74" t="s">
        <v>308</v>
      </c>
      <c r="F21" s="74" t="s">
        <v>309</v>
      </c>
      <c r="G21" s="239" t="s">
        <v>477</v>
      </c>
      <c r="H21" s="74" t="s">
        <v>356</v>
      </c>
      <c r="I21" s="239" t="s">
        <v>241</v>
      </c>
      <c r="J21" s="239" t="s">
        <v>34</v>
      </c>
      <c r="K21" s="239" t="s">
        <v>955</v>
      </c>
      <c r="L21" s="240" t="s">
        <v>245</v>
      </c>
      <c r="S21" s="211">
        <v>5719.69</v>
      </c>
    </row>
    <row r="22" spans="1:20" x14ac:dyDescent="0.25">
      <c r="A22" s="1">
        <v>914</v>
      </c>
      <c r="B22" s="1" t="s">
        <v>247</v>
      </c>
      <c r="C22" s="211" t="s">
        <v>953</v>
      </c>
      <c r="D22" s="211" t="s">
        <v>954</v>
      </c>
      <c r="E22" s="1">
        <f t="shared" ref="E22:E29" si="17">+B9</f>
        <v>40171210</v>
      </c>
      <c r="F22" s="212">
        <v>45474</v>
      </c>
      <c r="G22" s="190">
        <v>45504</v>
      </c>
      <c r="J22" s="207">
        <f>ROUND(J9*N9,0)</f>
        <v>357917</v>
      </c>
      <c r="K22" s="207">
        <f>ROUND(J22*$K$20,0)</f>
        <v>68004</v>
      </c>
      <c r="L22" s="207">
        <f>SUM(J22:K22)</f>
        <v>425921</v>
      </c>
      <c r="S22" s="1">
        <f>+S21*6%</f>
        <v>343.18139999999994</v>
      </c>
    </row>
    <row r="23" spans="1:20" x14ac:dyDescent="0.25">
      <c r="A23" s="1">
        <v>914</v>
      </c>
      <c r="B23" s="1" t="s">
        <v>247</v>
      </c>
      <c r="C23" s="211" t="s">
        <v>953</v>
      </c>
      <c r="D23" s="211" t="s">
        <v>954</v>
      </c>
      <c r="E23" s="1">
        <f t="shared" si="17"/>
        <v>40171347</v>
      </c>
      <c r="F23" s="212">
        <v>45474</v>
      </c>
      <c r="G23" s="190">
        <v>45504</v>
      </c>
      <c r="J23" s="207">
        <f t="shared" ref="J23:J29" si="18">ROUND(J10*N10,0)</f>
        <v>332196</v>
      </c>
      <c r="K23" s="207">
        <f t="shared" ref="K23:K29" si="19">ROUND(J23*$K$20,0)</f>
        <v>63117</v>
      </c>
      <c r="L23" s="207">
        <f t="shared" ref="L23:L29" si="20">SUM(J23:K23)</f>
        <v>395313</v>
      </c>
    </row>
    <row r="24" spans="1:20" x14ac:dyDescent="0.25">
      <c r="A24" s="1">
        <v>914</v>
      </c>
      <c r="B24" s="1" t="s">
        <v>247</v>
      </c>
      <c r="C24" s="211" t="s">
        <v>953</v>
      </c>
      <c r="D24" s="211" t="s">
        <v>954</v>
      </c>
      <c r="E24" s="1">
        <f t="shared" si="17"/>
        <v>40171537</v>
      </c>
      <c r="F24" s="212">
        <v>45474</v>
      </c>
      <c r="G24" s="190">
        <v>45504</v>
      </c>
      <c r="J24" s="207">
        <f t="shared" si="18"/>
        <v>130629</v>
      </c>
      <c r="K24" s="207">
        <f t="shared" si="19"/>
        <v>24820</v>
      </c>
      <c r="L24" s="207">
        <f t="shared" si="20"/>
        <v>155449</v>
      </c>
    </row>
    <row r="25" spans="1:20" x14ac:dyDescent="0.25">
      <c r="A25" s="1">
        <v>914</v>
      </c>
      <c r="B25" s="1" t="s">
        <v>247</v>
      </c>
      <c r="C25" s="211" t="s">
        <v>953</v>
      </c>
      <c r="D25" s="211" t="s">
        <v>954</v>
      </c>
      <c r="E25" s="1">
        <f t="shared" si="17"/>
        <v>40171768</v>
      </c>
      <c r="F25" s="212">
        <v>45474</v>
      </c>
      <c r="G25" s="190">
        <v>45504</v>
      </c>
      <c r="J25" s="207">
        <f t="shared" si="18"/>
        <v>52627</v>
      </c>
      <c r="K25" s="207">
        <f t="shared" si="19"/>
        <v>9999</v>
      </c>
      <c r="L25" s="207">
        <f t="shared" si="20"/>
        <v>62626</v>
      </c>
    </row>
    <row r="26" spans="1:20" x14ac:dyDescent="0.25">
      <c r="A26" s="1">
        <v>914</v>
      </c>
      <c r="B26" s="1" t="s">
        <v>247</v>
      </c>
      <c r="C26" s="211" t="s">
        <v>953</v>
      </c>
      <c r="D26" s="211" t="s">
        <v>954</v>
      </c>
      <c r="E26" s="1">
        <f t="shared" si="17"/>
        <v>40171933</v>
      </c>
      <c r="F26" s="212">
        <v>45474</v>
      </c>
      <c r="G26" s="190">
        <v>45504</v>
      </c>
      <c r="J26" s="207">
        <f t="shared" si="18"/>
        <v>909394</v>
      </c>
      <c r="K26" s="207">
        <f t="shared" si="19"/>
        <v>172785</v>
      </c>
      <c r="L26" s="207">
        <f t="shared" si="20"/>
        <v>1082179</v>
      </c>
    </row>
    <row r="27" spans="1:20" x14ac:dyDescent="0.25">
      <c r="A27" s="1">
        <v>914</v>
      </c>
      <c r="B27" s="1" t="s">
        <v>247</v>
      </c>
      <c r="C27" s="211" t="s">
        <v>953</v>
      </c>
      <c r="D27" s="211" t="s">
        <v>954</v>
      </c>
      <c r="E27" s="1">
        <f t="shared" si="17"/>
        <v>800214877</v>
      </c>
      <c r="F27" s="212">
        <v>45474</v>
      </c>
      <c r="G27" s="190">
        <v>45504</v>
      </c>
      <c r="J27" s="207">
        <f t="shared" si="18"/>
        <v>377421</v>
      </c>
      <c r="K27" s="207">
        <f t="shared" si="19"/>
        <v>71710</v>
      </c>
      <c r="L27" s="207">
        <f t="shared" si="20"/>
        <v>449131</v>
      </c>
    </row>
    <row r="28" spans="1:20" x14ac:dyDescent="0.25">
      <c r="A28" s="1">
        <v>914</v>
      </c>
      <c r="B28" s="1" t="s">
        <v>247</v>
      </c>
      <c r="C28" s="211" t="s">
        <v>953</v>
      </c>
      <c r="D28" s="211" t="s">
        <v>954</v>
      </c>
      <c r="E28" s="1">
        <f t="shared" si="17"/>
        <v>800217938</v>
      </c>
      <c r="F28" s="212">
        <v>45474</v>
      </c>
      <c r="G28" s="190">
        <v>45504</v>
      </c>
      <c r="J28" s="207">
        <f t="shared" si="18"/>
        <v>151834</v>
      </c>
      <c r="K28" s="207">
        <f t="shared" si="19"/>
        <v>28848</v>
      </c>
      <c r="L28" s="207">
        <f t="shared" si="20"/>
        <v>180682</v>
      </c>
    </row>
    <row r="29" spans="1:20" x14ac:dyDescent="0.25">
      <c r="A29" s="1">
        <v>914</v>
      </c>
      <c r="B29" s="1" t="s">
        <v>247</v>
      </c>
      <c r="C29" s="211" t="s">
        <v>953</v>
      </c>
      <c r="D29" s="211" t="s">
        <v>954</v>
      </c>
      <c r="E29" s="1">
        <f t="shared" si="17"/>
        <v>2810015626</v>
      </c>
      <c r="F29" s="212">
        <v>45474</v>
      </c>
      <c r="G29" s="190">
        <v>45504</v>
      </c>
      <c r="J29" s="207">
        <f t="shared" si="18"/>
        <v>3681929</v>
      </c>
      <c r="K29" s="207">
        <f t="shared" si="19"/>
        <v>699567</v>
      </c>
      <c r="L29" s="207">
        <f t="shared" si="20"/>
        <v>4381496</v>
      </c>
    </row>
    <row r="30" spans="1:20" x14ac:dyDescent="0.25">
      <c r="C30" s="1"/>
    </row>
    <row r="31" spans="1:20" x14ac:dyDescent="0.25">
      <c r="A31" s="213" t="s">
        <v>250</v>
      </c>
      <c r="B31" s="352"/>
      <c r="C31" s="352"/>
      <c r="D31" s="214"/>
      <c r="E31" s="352">
        <f>+COUNT(E22:E30)</f>
        <v>8</v>
      </c>
      <c r="F31" s="214"/>
      <c r="G31" s="214"/>
      <c r="H31" s="214"/>
      <c r="I31" s="214">
        <f>SUM(I22:I30)</f>
        <v>0</v>
      </c>
      <c r="J31" s="214">
        <f>SUM(J22:J30)</f>
        <v>5993947</v>
      </c>
      <c r="K31" s="214">
        <f>SUM(K22:K30)</f>
        <v>1138850</v>
      </c>
      <c r="L31" s="214">
        <f>SUM(L22:L30)</f>
        <v>7132797</v>
      </c>
    </row>
  </sheetData>
  <mergeCells count="1">
    <mergeCell ref="F5:M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7620-78F6-4C9D-BCB0-766850A9E89C}">
  <sheetPr>
    <tabColor rgb="FF00B0F0"/>
  </sheetPr>
  <dimension ref="B2:AA224"/>
  <sheetViews>
    <sheetView showGridLines="0" view="pageBreakPreview" zoomScale="90" zoomScaleNormal="75" zoomScaleSheetLayoutView="90" workbookViewId="0">
      <pane ySplit="8" topLeftCell="A68" activePane="bottomLeft" state="frozen"/>
      <selection pane="bottomLeft" activeCell="C80" sqref="C80:H80"/>
    </sheetView>
  </sheetViews>
  <sheetFormatPr baseColWidth="10" defaultColWidth="11.42578125" defaultRowHeight="15" x14ac:dyDescent="0.25"/>
  <cols>
    <col min="1" max="1" width="3.5703125" style="1" customWidth="1"/>
    <col min="2" max="2" width="4.7109375" style="1" bestFit="1" customWidth="1"/>
    <col min="3" max="3" width="14.42578125" style="1" customWidth="1"/>
    <col min="4" max="5" width="11.42578125" style="1"/>
    <col min="6" max="7" width="4.7109375" style="1" bestFit="1" customWidth="1"/>
    <col min="8" max="8" width="11.42578125" style="1"/>
    <col min="9" max="9" width="5.28515625" style="1" bestFit="1" customWidth="1"/>
    <col min="10" max="10" width="4.7109375" style="1" bestFit="1" customWidth="1"/>
    <col min="11" max="11" width="21.140625" style="1" customWidth="1"/>
    <col min="12" max="12" width="11.42578125" style="1"/>
    <col min="13" max="13" width="6.85546875" style="1" customWidth="1"/>
    <col min="14" max="14" width="8.28515625" style="1" bestFit="1" customWidth="1"/>
    <col min="15" max="15" width="4.7109375" style="1" bestFit="1" customWidth="1"/>
    <col min="16" max="16" width="17.5703125" style="1" customWidth="1"/>
    <col min="17" max="17" width="2.42578125" style="1" bestFit="1" customWidth="1"/>
    <col min="18" max="18" width="4.7109375" style="1" bestFit="1" customWidth="1"/>
    <col min="19" max="19" width="17.85546875" style="1" customWidth="1"/>
    <col min="20" max="20" width="2.42578125" style="1" bestFit="1" customWidth="1"/>
    <col min="21" max="21" width="11.42578125" style="1"/>
    <col min="22" max="22" width="6.5703125" style="1" customWidth="1"/>
    <col min="23" max="16384" width="11.42578125" style="1"/>
  </cols>
  <sheetData>
    <row r="2" spans="2:20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x14ac:dyDescent="0.25">
      <c r="B3" s="3"/>
      <c r="C3" s="551" t="s">
        <v>21</v>
      </c>
      <c r="D3" s="552"/>
      <c r="E3" s="553"/>
      <c r="F3" s="3"/>
      <c r="G3" s="3"/>
      <c r="H3" s="3"/>
      <c r="I3" s="551" t="s">
        <v>22</v>
      </c>
      <c r="J3" s="552"/>
      <c r="K3" s="552"/>
      <c r="L3" s="552"/>
      <c r="M3" s="553"/>
      <c r="N3" s="3"/>
      <c r="O3" s="3"/>
      <c r="P3" s="3"/>
      <c r="Q3" s="551" t="s">
        <v>23</v>
      </c>
      <c r="R3" s="552"/>
      <c r="S3" s="553"/>
      <c r="T3" s="3"/>
    </row>
    <row r="4" spans="2:20" x14ac:dyDescent="0.25">
      <c r="B4" s="2"/>
      <c r="C4" s="554">
        <v>15</v>
      </c>
      <c r="D4" s="123" t="s">
        <v>24</v>
      </c>
      <c r="E4" s="4" t="s">
        <v>25</v>
      </c>
      <c r="F4" s="2"/>
      <c r="G4" s="2"/>
      <c r="H4" s="2"/>
      <c r="I4" s="554">
        <v>3</v>
      </c>
      <c r="J4" s="556">
        <f>+Indice!B9</f>
        <v>0</v>
      </c>
      <c r="K4" s="556"/>
      <c r="L4" s="556"/>
      <c r="M4" s="557"/>
      <c r="N4" s="2"/>
      <c r="O4" s="2"/>
      <c r="P4" s="2"/>
      <c r="Q4" s="554">
        <v>7</v>
      </c>
      <c r="R4" s="560"/>
      <c r="S4" s="561"/>
      <c r="T4" s="2"/>
    </row>
    <row r="5" spans="2:20" ht="15.75" thickBot="1" x14ac:dyDescent="0.3">
      <c r="B5" s="2"/>
      <c r="C5" s="555"/>
      <c r="D5" s="5">
        <v>9</v>
      </c>
      <c r="E5" s="6">
        <v>2024</v>
      </c>
      <c r="F5" s="2"/>
      <c r="G5" s="2"/>
      <c r="H5" s="2"/>
      <c r="I5" s="555"/>
      <c r="J5" s="558"/>
      <c r="K5" s="558"/>
      <c r="L5" s="558"/>
      <c r="M5" s="559"/>
      <c r="N5" s="2"/>
      <c r="O5" s="2"/>
      <c r="P5" s="2"/>
      <c r="Q5" s="555"/>
      <c r="R5" s="562"/>
      <c r="S5" s="563"/>
      <c r="T5" s="2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25">
      <c r="B7" s="7">
        <v>1</v>
      </c>
      <c r="C7" s="485" t="s">
        <v>26</v>
      </c>
      <c r="D7" s="485"/>
      <c r="E7" s="485"/>
      <c r="F7" s="485"/>
      <c r="G7" s="485"/>
      <c r="H7" s="485"/>
      <c r="I7" s="8">
        <v>2</v>
      </c>
      <c r="J7" s="485" t="s">
        <v>27</v>
      </c>
      <c r="K7" s="485"/>
      <c r="L7" s="485"/>
      <c r="M7" s="485"/>
      <c r="N7" s="485"/>
      <c r="O7" s="8">
        <v>5</v>
      </c>
      <c r="P7" s="485" t="s">
        <v>28</v>
      </c>
      <c r="Q7" s="485"/>
      <c r="R7" s="485"/>
      <c r="S7" s="485"/>
      <c r="T7" s="498"/>
    </row>
    <row r="8" spans="2:20" ht="15.75" thickBot="1" x14ac:dyDescent="0.3">
      <c r="B8" s="564"/>
      <c r="C8" s="562"/>
      <c r="D8" s="562"/>
      <c r="E8" s="562"/>
      <c r="F8" s="562"/>
      <c r="G8" s="562"/>
      <c r="H8" s="562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6"/>
    </row>
    <row r="9" spans="2:20" ht="15.75" thickBot="1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x14ac:dyDescent="0.25">
      <c r="B10" s="484" t="s">
        <v>29</v>
      </c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6"/>
    </row>
    <row r="11" spans="2:20" x14ac:dyDescent="0.25">
      <c r="B11" s="518" t="s">
        <v>30</v>
      </c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47"/>
    </row>
    <row r="12" spans="2:20" x14ac:dyDescent="0.25">
      <c r="B12" s="518" t="s">
        <v>31</v>
      </c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47"/>
    </row>
    <row r="13" spans="2:20" x14ac:dyDescent="0.25">
      <c r="B13" s="503" t="s">
        <v>32</v>
      </c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 t="s">
        <v>33</v>
      </c>
      <c r="N13" s="504"/>
      <c r="O13" s="504"/>
      <c r="P13" s="504"/>
      <c r="Q13" s="504"/>
      <c r="R13" s="504" t="s">
        <v>34</v>
      </c>
      <c r="S13" s="504"/>
      <c r="T13" s="505"/>
    </row>
    <row r="14" spans="2:20" x14ac:dyDescent="0.25">
      <c r="B14" s="49">
        <v>1</v>
      </c>
      <c r="C14" s="471" t="s">
        <v>35</v>
      </c>
      <c r="D14" s="471"/>
      <c r="E14" s="471"/>
      <c r="F14" s="471"/>
      <c r="G14" s="471"/>
      <c r="H14" s="471"/>
      <c r="I14" s="471"/>
      <c r="J14" s="471"/>
      <c r="K14" s="471"/>
      <c r="L14" s="471"/>
      <c r="M14" s="125">
        <v>585</v>
      </c>
      <c r="N14" s="506"/>
      <c r="O14" s="506"/>
      <c r="P14" s="506"/>
      <c r="Q14" s="506"/>
      <c r="R14" s="125">
        <v>20</v>
      </c>
      <c r="S14" s="127"/>
      <c r="T14" s="48"/>
    </row>
    <row r="15" spans="2:20" x14ac:dyDescent="0.25">
      <c r="B15" s="49">
        <v>2</v>
      </c>
      <c r="C15" s="471" t="s">
        <v>36</v>
      </c>
      <c r="D15" s="471"/>
      <c r="E15" s="471"/>
      <c r="F15" s="471"/>
      <c r="G15" s="471"/>
      <c r="H15" s="471"/>
      <c r="I15" s="471"/>
      <c r="J15" s="471"/>
      <c r="K15" s="471"/>
      <c r="L15" s="471"/>
      <c r="M15" s="125">
        <v>586</v>
      </c>
      <c r="N15" s="541"/>
      <c r="O15" s="541"/>
      <c r="P15" s="541"/>
      <c r="Q15" s="541"/>
      <c r="R15" s="125">
        <v>142</v>
      </c>
      <c r="S15" s="129"/>
      <c r="T15" s="48"/>
    </row>
    <row r="16" spans="2:20" x14ac:dyDescent="0.25">
      <c r="B16" s="49">
        <v>3</v>
      </c>
      <c r="C16" s="471" t="s">
        <v>37</v>
      </c>
      <c r="D16" s="471"/>
      <c r="E16" s="471"/>
      <c r="F16" s="471"/>
      <c r="G16" s="471"/>
      <c r="H16" s="471"/>
      <c r="I16" s="471"/>
      <c r="J16" s="471"/>
      <c r="K16" s="471"/>
      <c r="L16" s="471"/>
      <c r="M16" s="125">
        <v>731</v>
      </c>
      <c r="N16" s="506"/>
      <c r="O16" s="506"/>
      <c r="P16" s="506"/>
      <c r="Q16" s="506"/>
      <c r="R16" s="125">
        <v>732</v>
      </c>
      <c r="S16" s="127"/>
      <c r="T16" s="48"/>
    </row>
    <row r="17" spans="2:20" x14ac:dyDescent="0.25">
      <c r="B17" s="49">
        <v>4</v>
      </c>
      <c r="C17" s="471" t="s">
        <v>38</v>
      </c>
      <c r="D17" s="471"/>
      <c r="E17" s="471"/>
      <c r="F17" s="471"/>
      <c r="G17" s="471"/>
      <c r="H17" s="471"/>
      <c r="I17" s="471"/>
      <c r="J17" s="471"/>
      <c r="K17" s="471"/>
      <c r="L17" s="471"/>
      <c r="M17" s="125">
        <v>714</v>
      </c>
      <c r="N17" s="506"/>
      <c r="O17" s="506"/>
      <c r="P17" s="506"/>
      <c r="Q17" s="506"/>
      <c r="R17" s="125">
        <v>715</v>
      </c>
      <c r="S17" s="127"/>
      <c r="T17" s="48"/>
    </row>
    <row r="18" spans="2:20" x14ac:dyDescent="0.25">
      <c r="B18" s="49">
        <v>5</v>
      </c>
      <c r="C18" s="471" t="s">
        <v>39</v>
      </c>
      <c r="D18" s="471"/>
      <c r="E18" s="471"/>
      <c r="F18" s="471"/>
      <c r="G18" s="471"/>
      <c r="H18" s="471"/>
      <c r="I18" s="471"/>
      <c r="J18" s="471"/>
      <c r="K18" s="471"/>
      <c r="L18" s="471"/>
      <c r="M18" s="125">
        <v>515</v>
      </c>
      <c r="N18" s="506"/>
      <c r="O18" s="506"/>
      <c r="P18" s="506"/>
      <c r="Q18" s="506"/>
      <c r="R18" s="125">
        <v>587</v>
      </c>
      <c r="S18" s="127"/>
      <c r="T18" s="48"/>
    </row>
    <row r="19" spans="2:20" x14ac:dyDescent="0.25">
      <c r="B19" s="49">
        <v>6</v>
      </c>
      <c r="C19" s="471" t="s">
        <v>40</v>
      </c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125">
        <v>720</v>
      </c>
      <c r="S19" s="127"/>
      <c r="T19" s="48"/>
    </row>
    <row r="20" spans="2:20" x14ac:dyDescent="0.25">
      <c r="B20" s="503" t="s">
        <v>41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 t="s">
        <v>33</v>
      </c>
      <c r="N20" s="504"/>
      <c r="O20" s="504"/>
      <c r="P20" s="504"/>
      <c r="Q20" s="504"/>
      <c r="R20" s="504" t="s">
        <v>42</v>
      </c>
      <c r="S20" s="504"/>
      <c r="T20" s="47"/>
    </row>
    <row r="21" spans="2:20" x14ac:dyDescent="0.25">
      <c r="B21" s="49">
        <v>7</v>
      </c>
      <c r="C21" s="471" t="s">
        <v>43</v>
      </c>
      <c r="D21" s="471"/>
      <c r="E21" s="471"/>
      <c r="F21" s="471"/>
      <c r="G21" s="471"/>
      <c r="H21" s="471"/>
      <c r="I21" s="471"/>
      <c r="J21" s="471"/>
      <c r="K21" s="471"/>
      <c r="L21" s="471"/>
      <c r="M21" s="125">
        <v>503</v>
      </c>
      <c r="N21" s="541"/>
      <c r="O21" s="541"/>
      <c r="P21" s="541"/>
      <c r="Q21" s="541"/>
      <c r="R21" s="125">
        <v>502</v>
      </c>
      <c r="S21" s="129"/>
      <c r="T21" s="48" t="s">
        <v>44</v>
      </c>
    </row>
    <row r="22" spans="2:20" x14ac:dyDescent="0.25">
      <c r="B22" s="49">
        <v>8</v>
      </c>
      <c r="C22" s="471" t="s">
        <v>45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125">
        <v>763</v>
      </c>
      <c r="N22" s="506"/>
      <c r="O22" s="506"/>
      <c r="P22" s="506"/>
      <c r="Q22" s="506"/>
      <c r="R22" s="125">
        <v>764</v>
      </c>
      <c r="S22" s="129"/>
      <c r="T22" s="48" t="s">
        <v>44</v>
      </c>
    </row>
    <row r="23" spans="2:20" x14ac:dyDescent="0.25">
      <c r="B23" s="49">
        <v>9</v>
      </c>
      <c r="C23" s="471" t="s">
        <v>46</v>
      </c>
      <c r="D23" s="471"/>
      <c r="E23" s="471"/>
      <c r="F23" s="471"/>
      <c r="G23" s="471"/>
      <c r="H23" s="471"/>
      <c r="I23" s="471"/>
      <c r="J23" s="471"/>
      <c r="K23" s="471"/>
      <c r="L23" s="471"/>
      <c r="M23" s="125">
        <v>716</v>
      </c>
      <c r="N23" s="506"/>
      <c r="O23" s="506"/>
      <c r="P23" s="506"/>
      <c r="Q23" s="506"/>
      <c r="R23" s="125">
        <v>717</v>
      </c>
      <c r="S23" s="129"/>
      <c r="T23" s="48" t="s">
        <v>44</v>
      </c>
    </row>
    <row r="24" spans="2:20" x14ac:dyDescent="0.25">
      <c r="B24" s="49">
        <v>10</v>
      </c>
      <c r="C24" s="471" t="s">
        <v>47</v>
      </c>
      <c r="D24" s="471"/>
      <c r="E24" s="471"/>
      <c r="F24" s="471"/>
      <c r="G24" s="471"/>
      <c r="H24" s="471"/>
      <c r="I24" s="471"/>
      <c r="J24" s="471"/>
      <c r="K24" s="471"/>
      <c r="L24" s="471"/>
      <c r="M24" s="125">
        <v>110</v>
      </c>
      <c r="N24" s="541"/>
      <c r="O24" s="541"/>
      <c r="P24" s="541"/>
      <c r="Q24" s="541"/>
      <c r="R24" s="125">
        <v>111</v>
      </c>
      <c r="S24" s="129"/>
      <c r="T24" s="48" t="s">
        <v>44</v>
      </c>
    </row>
    <row r="25" spans="2:20" x14ac:dyDescent="0.25">
      <c r="B25" s="49">
        <v>11</v>
      </c>
      <c r="C25" s="471" t="s">
        <v>48</v>
      </c>
      <c r="D25" s="471"/>
      <c r="E25" s="471"/>
      <c r="F25" s="471"/>
      <c r="G25" s="471"/>
      <c r="H25" s="471"/>
      <c r="I25" s="471"/>
      <c r="J25" s="471"/>
      <c r="K25" s="471"/>
      <c r="L25" s="471"/>
      <c r="M25" s="125">
        <v>758</v>
      </c>
      <c r="N25" s="541"/>
      <c r="O25" s="541"/>
      <c r="P25" s="541"/>
      <c r="Q25" s="541"/>
      <c r="R25" s="125">
        <v>759</v>
      </c>
      <c r="S25" s="129"/>
      <c r="T25" s="48" t="s">
        <v>44</v>
      </c>
    </row>
    <row r="26" spans="2:20" x14ac:dyDescent="0.25">
      <c r="B26" s="49">
        <v>12</v>
      </c>
      <c r="C26" s="471" t="s">
        <v>49</v>
      </c>
      <c r="D26" s="471"/>
      <c r="E26" s="471"/>
      <c r="F26" s="471"/>
      <c r="G26" s="471"/>
      <c r="H26" s="471"/>
      <c r="I26" s="471"/>
      <c r="J26" s="471"/>
      <c r="K26" s="471"/>
      <c r="L26" s="471"/>
      <c r="M26" s="125">
        <v>512</v>
      </c>
      <c r="N26" s="541"/>
      <c r="O26" s="541"/>
      <c r="P26" s="541"/>
      <c r="Q26" s="541"/>
      <c r="R26" s="125">
        <v>513</v>
      </c>
      <c r="S26" s="129"/>
      <c r="T26" s="48" t="s">
        <v>44</v>
      </c>
    </row>
    <row r="27" spans="2:20" x14ac:dyDescent="0.25">
      <c r="B27" s="49">
        <v>13</v>
      </c>
      <c r="C27" s="471" t="s">
        <v>50</v>
      </c>
      <c r="D27" s="471"/>
      <c r="E27" s="471"/>
      <c r="F27" s="471"/>
      <c r="G27" s="471"/>
      <c r="H27" s="471"/>
      <c r="I27" s="471"/>
      <c r="J27" s="471"/>
      <c r="K27" s="471"/>
      <c r="L27" s="471"/>
      <c r="M27" s="125">
        <v>509</v>
      </c>
      <c r="N27" s="541"/>
      <c r="O27" s="541"/>
      <c r="P27" s="541"/>
      <c r="Q27" s="541"/>
      <c r="R27" s="125">
        <v>510</v>
      </c>
      <c r="S27" s="129"/>
      <c r="T27" s="48" t="s">
        <v>51</v>
      </c>
    </row>
    <row r="28" spans="2:20" x14ac:dyDescent="0.25">
      <c r="B28" s="49">
        <v>14</v>
      </c>
      <c r="C28" s="471" t="s">
        <v>52</v>
      </c>
      <c r="D28" s="471"/>
      <c r="E28" s="471"/>
      <c r="F28" s="471"/>
      <c r="G28" s="471"/>
      <c r="H28" s="471"/>
      <c r="I28" s="471"/>
      <c r="J28" s="471"/>
      <c r="K28" s="471"/>
      <c r="L28" s="471"/>
      <c r="M28" s="125">
        <v>708</v>
      </c>
      <c r="N28" s="541"/>
      <c r="O28" s="541"/>
      <c r="P28" s="541"/>
      <c r="Q28" s="541"/>
      <c r="R28" s="125">
        <v>709</v>
      </c>
      <c r="S28" s="129"/>
      <c r="T28" s="48" t="s">
        <v>51</v>
      </c>
    </row>
    <row r="29" spans="2:20" x14ac:dyDescent="0.25">
      <c r="B29" s="49">
        <v>15</v>
      </c>
      <c r="C29" s="471" t="s">
        <v>53</v>
      </c>
      <c r="D29" s="471"/>
      <c r="E29" s="471"/>
      <c r="F29" s="471"/>
      <c r="G29" s="471"/>
      <c r="H29" s="471"/>
      <c r="I29" s="471"/>
      <c r="J29" s="471"/>
      <c r="K29" s="471"/>
      <c r="L29" s="471"/>
      <c r="M29" s="125">
        <v>733</v>
      </c>
      <c r="N29" s="506"/>
      <c r="O29" s="506"/>
      <c r="P29" s="506"/>
      <c r="Q29" s="506"/>
      <c r="R29" s="125">
        <v>734</v>
      </c>
      <c r="S29" s="129"/>
      <c r="T29" s="48" t="s">
        <v>51</v>
      </c>
    </row>
    <row r="30" spans="2:20" x14ac:dyDescent="0.25">
      <c r="B30" s="49">
        <v>16</v>
      </c>
      <c r="C30" s="471" t="s">
        <v>54</v>
      </c>
      <c r="D30" s="471"/>
      <c r="E30" s="471"/>
      <c r="F30" s="471"/>
      <c r="G30" s="471"/>
      <c r="H30" s="471"/>
      <c r="I30" s="471"/>
      <c r="J30" s="471"/>
      <c r="K30" s="471"/>
      <c r="L30" s="471"/>
      <c r="M30" s="125">
        <v>516</v>
      </c>
      <c r="N30" s="506"/>
      <c r="O30" s="506"/>
      <c r="P30" s="506"/>
      <c r="Q30" s="506"/>
      <c r="R30" s="125">
        <v>517</v>
      </c>
      <c r="S30" s="129"/>
      <c r="T30" s="48" t="s">
        <v>44</v>
      </c>
    </row>
    <row r="31" spans="2:20" x14ac:dyDescent="0.25">
      <c r="B31" s="49">
        <v>17</v>
      </c>
      <c r="C31" s="471" t="s">
        <v>55</v>
      </c>
      <c r="D31" s="471"/>
      <c r="E31" s="471"/>
      <c r="F31" s="471"/>
      <c r="G31" s="471"/>
      <c r="H31" s="471"/>
      <c r="I31" s="471"/>
      <c r="J31" s="471"/>
      <c r="K31" s="471"/>
      <c r="L31" s="471"/>
      <c r="M31" s="125">
        <v>500</v>
      </c>
      <c r="N31" s="506"/>
      <c r="O31" s="506"/>
      <c r="P31" s="506"/>
      <c r="Q31" s="506"/>
      <c r="R31" s="125">
        <v>501</v>
      </c>
      <c r="S31" s="129"/>
      <c r="T31" s="48" t="s">
        <v>44</v>
      </c>
    </row>
    <row r="32" spans="2:20" x14ac:dyDescent="0.25">
      <c r="B32" s="49">
        <v>18</v>
      </c>
      <c r="C32" s="471" t="s">
        <v>56</v>
      </c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125">
        <v>154</v>
      </c>
      <c r="S32" s="129"/>
      <c r="T32" s="48" t="s">
        <v>44</v>
      </c>
    </row>
    <row r="33" spans="2:27" x14ac:dyDescent="0.25">
      <c r="B33" s="49">
        <v>19</v>
      </c>
      <c r="C33" s="471" t="s">
        <v>57</v>
      </c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125">
        <v>518</v>
      </c>
      <c r="S33" s="129"/>
      <c r="T33" s="48" t="s">
        <v>44</v>
      </c>
    </row>
    <row r="34" spans="2:27" x14ac:dyDescent="0.25">
      <c r="B34" s="49">
        <v>20</v>
      </c>
      <c r="C34" s="471" t="s">
        <v>58</v>
      </c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125">
        <v>713</v>
      </c>
      <c r="S34" s="129"/>
      <c r="T34" s="48" t="s">
        <v>44</v>
      </c>
    </row>
    <row r="35" spans="2:27" x14ac:dyDescent="0.25">
      <c r="B35" s="49">
        <v>21</v>
      </c>
      <c r="C35" s="471" t="s">
        <v>59</v>
      </c>
      <c r="D35" s="471"/>
      <c r="E35" s="471"/>
      <c r="F35" s="124" t="s">
        <v>60</v>
      </c>
      <c r="G35" s="125">
        <v>738</v>
      </c>
      <c r="H35" s="126"/>
      <c r="I35" s="124" t="s">
        <v>61</v>
      </c>
      <c r="J35" s="125">
        <v>739</v>
      </c>
      <c r="K35" s="506"/>
      <c r="L35" s="506"/>
      <c r="M35" s="506"/>
      <c r="N35" s="124" t="s">
        <v>62</v>
      </c>
      <c r="O35" s="125">
        <v>740</v>
      </c>
      <c r="P35" s="506"/>
      <c r="Q35" s="506"/>
      <c r="R35" s="125">
        <v>741</v>
      </c>
      <c r="S35" s="129"/>
      <c r="T35" s="48" t="s">
        <v>44</v>
      </c>
    </row>
    <row r="36" spans="2:27" x14ac:dyDescent="0.25">
      <c r="B36" s="117">
        <v>22</v>
      </c>
      <c r="C36" s="478" t="s">
        <v>63</v>
      </c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479"/>
      <c r="R36" s="118">
        <v>791</v>
      </c>
      <c r="S36" s="130"/>
      <c r="T36" s="48" t="s">
        <v>44</v>
      </c>
    </row>
    <row r="37" spans="2:27" ht="15.75" thickBot="1" x14ac:dyDescent="0.3">
      <c r="B37" s="10">
        <v>23</v>
      </c>
      <c r="C37" s="470" t="s">
        <v>64</v>
      </c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52">
        <v>538</v>
      </c>
      <c r="S37" s="50">
        <f>+S21+S22+S23+S24+S25+S26-S27-S28-S29+S30+S31+S32+S33+S34+S35+S36</f>
        <v>0</v>
      </c>
      <c r="T37" s="11" t="s">
        <v>65</v>
      </c>
    </row>
    <row r="38" spans="2:27" ht="15.75" thickBot="1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2:27" x14ac:dyDescent="0.25">
      <c r="B39" s="484" t="s">
        <v>66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6"/>
    </row>
    <row r="40" spans="2:27" ht="18" customHeight="1" x14ac:dyDescent="0.25">
      <c r="B40" s="518" t="s">
        <v>67</v>
      </c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47"/>
    </row>
    <row r="41" spans="2:27" ht="27" customHeight="1" x14ac:dyDescent="0.25">
      <c r="B41" s="503" t="s">
        <v>69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 t="s">
        <v>70</v>
      </c>
      <c r="N41" s="504"/>
      <c r="O41" s="504"/>
      <c r="P41" s="504"/>
      <c r="Q41" s="504"/>
      <c r="R41" s="504" t="s">
        <v>71</v>
      </c>
      <c r="S41" s="504"/>
      <c r="T41" s="505"/>
    </row>
    <row r="42" spans="2:27" x14ac:dyDescent="0.25">
      <c r="B42" s="244">
        <v>24</v>
      </c>
      <c r="C42" s="520" t="s">
        <v>74</v>
      </c>
      <c r="D42" s="520"/>
      <c r="E42" s="520"/>
      <c r="F42" s="520"/>
      <c r="G42" s="520"/>
      <c r="H42" s="520"/>
      <c r="I42" s="520"/>
      <c r="J42" s="520"/>
      <c r="K42" s="520"/>
      <c r="L42" s="520"/>
      <c r="M42" s="245">
        <v>511</v>
      </c>
      <c r="N42" s="587">
        <f>SUM('Ej.1 DIN'!K31)</f>
        <v>1138850</v>
      </c>
      <c r="O42" s="587"/>
      <c r="P42" s="587"/>
      <c r="Q42" s="587"/>
      <c r="R42" s="245">
        <v>514</v>
      </c>
      <c r="S42" s="246"/>
      <c r="T42" s="279"/>
      <c r="V42" s="77"/>
      <c r="W42" s="77"/>
      <c r="Y42" s="77"/>
      <c r="Z42" s="77"/>
      <c r="AA42" s="77"/>
    </row>
    <row r="43" spans="2:27" x14ac:dyDescent="0.25">
      <c r="B43" s="518" t="s">
        <v>75</v>
      </c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47"/>
    </row>
    <row r="44" spans="2:27" x14ac:dyDescent="0.25">
      <c r="B44" s="503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 t="s">
        <v>33</v>
      </c>
      <c r="N44" s="504"/>
      <c r="O44" s="504"/>
      <c r="P44" s="504"/>
      <c r="Q44" s="504"/>
      <c r="R44" s="504" t="s">
        <v>34</v>
      </c>
      <c r="S44" s="504"/>
      <c r="T44" s="505"/>
    </row>
    <row r="45" spans="2:27" x14ac:dyDescent="0.25">
      <c r="B45" s="49">
        <v>25</v>
      </c>
      <c r="C45" s="471" t="s">
        <v>78</v>
      </c>
      <c r="D45" s="471"/>
      <c r="E45" s="471"/>
      <c r="F45" s="471"/>
      <c r="G45" s="471"/>
      <c r="H45" s="471"/>
      <c r="I45" s="471"/>
      <c r="J45" s="471"/>
      <c r="K45" s="471"/>
      <c r="L45" s="471"/>
      <c r="M45" s="125">
        <v>564</v>
      </c>
      <c r="N45" s="541"/>
      <c r="O45" s="541"/>
      <c r="P45" s="541"/>
      <c r="Q45" s="541"/>
      <c r="R45" s="125">
        <v>521</v>
      </c>
      <c r="S45" s="132"/>
      <c r="T45" s="48"/>
      <c r="U45" s="78"/>
      <c r="V45" s="78"/>
      <c r="W45" s="78"/>
      <c r="X45" s="78"/>
      <c r="Y45" s="78"/>
    </row>
    <row r="46" spans="2:27" x14ac:dyDescent="0.25">
      <c r="B46" s="49">
        <v>26</v>
      </c>
      <c r="C46" s="471" t="s">
        <v>79</v>
      </c>
      <c r="D46" s="471"/>
      <c r="E46" s="471"/>
      <c r="F46" s="471"/>
      <c r="G46" s="471"/>
      <c r="H46" s="471"/>
      <c r="I46" s="471"/>
      <c r="J46" s="471"/>
      <c r="K46" s="471"/>
      <c r="L46" s="471"/>
      <c r="M46" s="125">
        <v>566</v>
      </c>
      <c r="N46" s="506"/>
      <c r="O46" s="506"/>
      <c r="P46" s="506"/>
      <c r="Q46" s="506"/>
      <c r="R46" s="125">
        <v>560</v>
      </c>
      <c r="S46" s="127"/>
      <c r="T46" s="48"/>
    </row>
    <row r="47" spans="2:27" x14ac:dyDescent="0.25">
      <c r="B47" s="49">
        <v>27</v>
      </c>
      <c r="C47" s="471" t="s">
        <v>80</v>
      </c>
      <c r="D47" s="471"/>
      <c r="E47" s="471"/>
      <c r="F47" s="471"/>
      <c r="G47" s="471"/>
      <c r="H47" s="471"/>
      <c r="I47" s="471"/>
      <c r="J47" s="471"/>
      <c r="K47" s="471"/>
      <c r="L47" s="471"/>
      <c r="M47" s="125">
        <v>584</v>
      </c>
      <c r="N47" s="541"/>
      <c r="O47" s="541"/>
      <c r="P47" s="541"/>
      <c r="Q47" s="541"/>
      <c r="R47" s="125">
        <v>562</v>
      </c>
      <c r="S47" s="132"/>
      <c r="T47" s="48"/>
    </row>
    <row r="48" spans="2:27" x14ac:dyDescent="0.25">
      <c r="B48" s="518" t="s">
        <v>81</v>
      </c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47"/>
    </row>
    <row r="49" spans="2:20" x14ac:dyDescent="0.25">
      <c r="B49" s="518" t="s">
        <v>82</v>
      </c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47"/>
    </row>
    <row r="50" spans="2:20" ht="30" customHeight="1" x14ac:dyDescent="0.25">
      <c r="B50" s="503"/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 t="s">
        <v>33</v>
      </c>
      <c r="N50" s="504"/>
      <c r="O50" s="504"/>
      <c r="P50" s="504"/>
      <c r="Q50" s="504"/>
      <c r="R50" s="504" t="s">
        <v>83</v>
      </c>
      <c r="S50" s="504"/>
      <c r="T50" s="505"/>
    </row>
    <row r="51" spans="2:20" x14ac:dyDescent="0.25">
      <c r="B51" s="49">
        <v>28</v>
      </c>
      <c r="C51" s="471" t="s">
        <v>84</v>
      </c>
      <c r="D51" s="471"/>
      <c r="E51" s="471"/>
      <c r="F51" s="471"/>
      <c r="G51" s="471"/>
      <c r="H51" s="471"/>
      <c r="I51" s="471"/>
      <c r="J51" s="471"/>
      <c r="K51" s="471"/>
      <c r="L51" s="471"/>
      <c r="M51" s="125">
        <v>519</v>
      </c>
      <c r="N51" s="541"/>
      <c r="O51" s="541"/>
      <c r="P51" s="541"/>
      <c r="Q51" s="541"/>
      <c r="R51" s="125">
        <v>520</v>
      </c>
      <c r="S51" s="132"/>
      <c r="T51" s="48" t="s">
        <v>44</v>
      </c>
    </row>
    <row r="52" spans="2:20" x14ac:dyDescent="0.25">
      <c r="B52" s="49">
        <v>29</v>
      </c>
      <c r="C52" s="471" t="s">
        <v>85</v>
      </c>
      <c r="D52" s="471"/>
      <c r="E52" s="471"/>
      <c r="F52" s="471"/>
      <c r="G52" s="471"/>
      <c r="H52" s="471"/>
      <c r="I52" s="471"/>
      <c r="J52" s="471"/>
      <c r="K52" s="471"/>
      <c r="L52" s="471"/>
      <c r="M52" s="125">
        <v>761</v>
      </c>
      <c r="N52" s="506"/>
      <c r="O52" s="506"/>
      <c r="P52" s="506"/>
      <c r="Q52" s="506"/>
      <c r="R52" s="125">
        <v>762</v>
      </c>
      <c r="S52" s="132"/>
      <c r="T52" s="48" t="s">
        <v>44</v>
      </c>
    </row>
    <row r="53" spans="2:20" x14ac:dyDescent="0.25">
      <c r="B53" s="49">
        <v>30</v>
      </c>
      <c r="C53" s="471" t="s">
        <v>86</v>
      </c>
      <c r="D53" s="471"/>
      <c r="E53" s="471"/>
      <c r="F53" s="471"/>
      <c r="G53" s="471"/>
      <c r="H53" s="471"/>
      <c r="I53" s="471"/>
      <c r="J53" s="471"/>
      <c r="K53" s="471"/>
      <c r="L53" s="471"/>
      <c r="M53" s="125">
        <v>765</v>
      </c>
      <c r="N53" s="506"/>
      <c r="O53" s="506"/>
      <c r="P53" s="506"/>
      <c r="Q53" s="506"/>
      <c r="R53" s="125">
        <v>766</v>
      </c>
      <c r="S53" s="132"/>
      <c r="T53" s="48" t="s">
        <v>44</v>
      </c>
    </row>
    <row r="54" spans="2:20" x14ac:dyDescent="0.25">
      <c r="B54" s="49">
        <v>31</v>
      </c>
      <c r="C54" s="471" t="s">
        <v>87</v>
      </c>
      <c r="D54" s="471"/>
      <c r="E54" s="471"/>
      <c r="F54" s="471"/>
      <c r="G54" s="471"/>
      <c r="H54" s="471"/>
      <c r="I54" s="471"/>
      <c r="J54" s="471"/>
      <c r="K54" s="471"/>
      <c r="L54" s="471"/>
      <c r="M54" s="125">
        <v>524</v>
      </c>
      <c r="N54" s="541"/>
      <c r="O54" s="541"/>
      <c r="P54" s="541"/>
      <c r="Q54" s="541"/>
      <c r="R54" s="125">
        <v>525</v>
      </c>
      <c r="S54" s="132"/>
      <c r="T54" s="48" t="s">
        <v>44</v>
      </c>
    </row>
    <row r="55" spans="2:20" x14ac:dyDescent="0.25">
      <c r="B55" s="49">
        <v>32</v>
      </c>
      <c r="C55" s="471" t="s">
        <v>89</v>
      </c>
      <c r="D55" s="471"/>
      <c r="E55" s="471"/>
      <c r="F55" s="471"/>
      <c r="G55" s="471"/>
      <c r="H55" s="471"/>
      <c r="I55" s="471"/>
      <c r="J55" s="471"/>
      <c r="K55" s="471"/>
      <c r="L55" s="471"/>
      <c r="M55" s="125">
        <v>527</v>
      </c>
      <c r="N55" s="541"/>
      <c r="O55" s="541"/>
      <c r="P55" s="541"/>
      <c r="Q55" s="541"/>
      <c r="R55" s="125">
        <v>528</v>
      </c>
      <c r="S55" s="132"/>
      <c r="T55" s="48" t="s">
        <v>51</v>
      </c>
    </row>
    <row r="56" spans="2:20" x14ac:dyDescent="0.25">
      <c r="B56" s="49">
        <v>33</v>
      </c>
      <c r="C56" s="471" t="s">
        <v>90</v>
      </c>
      <c r="D56" s="471"/>
      <c r="E56" s="471"/>
      <c r="F56" s="471"/>
      <c r="G56" s="471"/>
      <c r="H56" s="471"/>
      <c r="I56" s="471"/>
      <c r="J56" s="471"/>
      <c r="K56" s="471"/>
      <c r="L56" s="471"/>
      <c r="M56" s="125">
        <v>531</v>
      </c>
      <c r="N56" s="506"/>
      <c r="O56" s="506"/>
      <c r="P56" s="506"/>
      <c r="Q56" s="506"/>
      <c r="R56" s="125">
        <v>532</v>
      </c>
      <c r="S56" s="132"/>
      <c r="T56" s="48" t="s">
        <v>44</v>
      </c>
    </row>
    <row r="57" spans="2:20" x14ac:dyDescent="0.25">
      <c r="B57" s="518" t="s">
        <v>91</v>
      </c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47"/>
    </row>
    <row r="58" spans="2:20" x14ac:dyDescent="0.25">
      <c r="B58" s="244">
        <v>34</v>
      </c>
      <c r="C58" s="520" t="s">
        <v>92</v>
      </c>
      <c r="D58" s="520"/>
      <c r="E58" s="520"/>
      <c r="F58" s="520"/>
      <c r="G58" s="520"/>
      <c r="H58" s="520"/>
      <c r="I58" s="520"/>
      <c r="J58" s="520"/>
      <c r="K58" s="520"/>
      <c r="L58" s="520"/>
      <c r="M58" s="245">
        <v>534</v>
      </c>
      <c r="N58" s="586">
        <f>SUM('Ej.1 DIN'!E31)</f>
        <v>8</v>
      </c>
      <c r="O58" s="521"/>
      <c r="P58" s="521"/>
      <c r="Q58" s="521"/>
      <c r="R58" s="245">
        <v>535</v>
      </c>
      <c r="S58" s="246">
        <f>SUM('Ej.1 DIN'!K31)</f>
        <v>1138850</v>
      </c>
      <c r="T58" s="48" t="s">
        <v>44</v>
      </c>
    </row>
    <row r="59" spans="2:20" x14ac:dyDescent="0.25">
      <c r="B59" s="49">
        <v>35</v>
      </c>
      <c r="C59" s="471" t="s">
        <v>93</v>
      </c>
      <c r="D59" s="471"/>
      <c r="E59" s="471"/>
      <c r="F59" s="471"/>
      <c r="G59" s="471"/>
      <c r="H59" s="471"/>
      <c r="I59" s="471"/>
      <c r="J59" s="471"/>
      <c r="K59" s="471"/>
      <c r="L59" s="471"/>
      <c r="M59" s="125">
        <v>536</v>
      </c>
      <c r="N59" s="506"/>
      <c r="O59" s="506"/>
      <c r="P59" s="506"/>
      <c r="Q59" s="506"/>
      <c r="R59" s="125">
        <v>553</v>
      </c>
      <c r="S59" s="132"/>
      <c r="T59" s="48" t="s">
        <v>44</v>
      </c>
    </row>
    <row r="60" spans="2:20" x14ac:dyDescent="0.25">
      <c r="B60" s="49">
        <v>36</v>
      </c>
      <c r="C60" s="471" t="s">
        <v>94</v>
      </c>
      <c r="D60" s="471"/>
      <c r="E60" s="471"/>
      <c r="F60" s="471"/>
      <c r="G60" s="471"/>
      <c r="H60" s="471"/>
      <c r="I60" s="471"/>
      <c r="J60" s="471"/>
      <c r="K60" s="471"/>
      <c r="L60" s="471"/>
      <c r="M60" s="471"/>
      <c r="N60" s="471"/>
      <c r="O60" s="471"/>
      <c r="P60" s="471"/>
      <c r="Q60" s="471"/>
      <c r="R60" s="125">
        <v>504</v>
      </c>
      <c r="S60" s="133"/>
      <c r="T60" s="48" t="s">
        <v>44</v>
      </c>
    </row>
    <row r="61" spans="2:20" x14ac:dyDescent="0.25">
      <c r="B61" s="49">
        <v>37</v>
      </c>
      <c r="C61" s="471" t="s">
        <v>95</v>
      </c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125">
        <v>593</v>
      </c>
      <c r="S61" s="132"/>
      <c r="T61" s="48" t="s">
        <v>51</v>
      </c>
    </row>
    <row r="62" spans="2:20" x14ac:dyDescent="0.25">
      <c r="B62" s="49">
        <v>38</v>
      </c>
      <c r="C62" s="471" t="s">
        <v>96</v>
      </c>
      <c r="D62" s="471"/>
      <c r="E62" s="471"/>
      <c r="F62" s="471"/>
      <c r="G62" s="471"/>
      <c r="H62" s="471"/>
      <c r="I62" s="471"/>
      <c r="J62" s="471"/>
      <c r="K62" s="471"/>
      <c r="L62" s="471"/>
      <c r="M62" s="471"/>
      <c r="N62" s="471"/>
      <c r="O62" s="471"/>
      <c r="P62" s="471"/>
      <c r="Q62" s="471"/>
      <c r="R62" s="125">
        <v>594</v>
      </c>
      <c r="S62" s="132"/>
      <c r="T62" s="48" t="s">
        <v>51</v>
      </c>
    </row>
    <row r="63" spans="2:20" x14ac:dyDescent="0.25">
      <c r="B63" s="49">
        <v>39</v>
      </c>
      <c r="C63" s="471" t="s">
        <v>97</v>
      </c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1"/>
      <c r="R63" s="125">
        <v>592</v>
      </c>
      <c r="S63" s="132"/>
      <c r="T63" s="48" t="s">
        <v>51</v>
      </c>
    </row>
    <row r="64" spans="2:20" x14ac:dyDescent="0.25">
      <c r="B64" s="49">
        <v>40</v>
      </c>
      <c r="C64" s="471" t="s">
        <v>98</v>
      </c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125">
        <v>539</v>
      </c>
      <c r="S64" s="132"/>
      <c r="T64" s="48" t="s">
        <v>51</v>
      </c>
    </row>
    <row r="65" spans="2:20" x14ac:dyDescent="0.25">
      <c r="B65" s="49">
        <v>41</v>
      </c>
      <c r="C65" s="471" t="s">
        <v>99</v>
      </c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1"/>
      <c r="R65" s="125">
        <v>718</v>
      </c>
      <c r="S65" s="132"/>
      <c r="T65" s="48" t="s">
        <v>51</v>
      </c>
    </row>
    <row r="66" spans="2:20" x14ac:dyDescent="0.25">
      <c r="B66" s="49">
        <v>42</v>
      </c>
      <c r="C66" s="471" t="s">
        <v>100</v>
      </c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71"/>
      <c r="O66" s="471"/>
      <c r="P66" s="471"/>
      <c r="Q66" s="471"/>
      <c r="R66" s="125">
        <v>790</v>
      </c>
      <c r="S66" s="132"/>
      <c r="T66" s="48" t="s">
        <v>51</v>
      </c>
    </row>
    <row r="67" spans="2:20" x14ac:dyDescent="0.25">
      <c r="B67" s="49">
        <v>43</v>
      </c>
      <c r="C67" s="471" t="s">
        <v>101</v>
      </c>
      <c r="D67" s="471"/>
      <c r="E67" s="471"/>
      <c r="F67" s="471"/>
      <c r="G67" s="471"/>
      <c r="H67" s="471"/>
      <c r="I67" s="471"/>
      <c r="J67" s="471"/>
      <c r="K67" s="471"/>
      <c r="L67" s="471"/>
      <c r="M67" s="471"/>
      <c r="N67" s="471"/>
      <c r="O67" s="471"/>
      <c r="P67" s="471"/>
      <c r="Q67" s="471"/>
      <c r="R67" s="125">
        <v>164</v>
      </c>
      <c r="S67" s="132"/>
      <c r="T67" s="48" t="s">
        <v>44</v>
      </c>
    </row>
    <row r="68" spans="2:20" x14ac:dyDescent="0.25">
      <c r="B68" s="518" t="s">
        <v>102</v>
      </c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47"/>
    </row>
    <row r="69" spans="2:20" ht="32.25" customHeight="1" x14ac:dyDescent="0.25">
      <c r="B69" s="503"/>
      <c r="C69" s="504"/>
      <c r="D69" s="504"/>
      <c r="E69" s="504"/>
      <c r="F69" s="504"/>
      <c r="G69" s="504"/>
      <c r="H69" s="504"/>
      <c r="I69" s="504"/>
      <c r="J69" s="504" t="s">
        <v>103</v>
      </c>
      <c r="K69" s="504"/>
      <c r="L69" s="504"/>
      <c r="M69" s="504"/>
      <c r="N69" s="504" t="s">
        <v>104</v>
      </c>
      <c r="O69" s="504"/>
      <c r="P69" s="504"/>
      <c r="Q69" s="504"/>
      <c r="R69" s="504"/>
      <c r="S69" s="504"/>
      <c r="T69" s="505"/>
    </row>
    <row r="70" spans="2:20" x14ac:dyDescent="0.25">
      <c r="B70" s="526">
        <v>44</v>
      </c>
      <c r="C70" s="471" t="s">
        <v>105</v>
      </c>
      <c r="D70" s="471"/>
      <c r="E70" s="471"/>
      <c r="F70" s="471"/>
      <c r="G70" s="471"/>
      <c r="H70" s="471"/>
      <c r="I70" s="471"/>
      <c r="J70" s="516">
        <v>730</v>
      </c>
      <c r="K70" s="506"/>
      <c r="L70" s="506"/>
      <c r="M70" s="506"/>
      <c r="N70" s="124" t="s">
        <v>61</v>
      </c>
      <c r="O70" s="125">
        <v>742</v>
      </c>
      <c r="P70" s="506"/>
      <c r="Q70" s="506"/>
      <c r="R70" s="516">
        <v>127</v>
      </c>
      <c r="S70" s="540"/>
      <c r="T70" s="525" t="s">
        <v>44</v>
      </c>
    </row>
    <row r="71" spans="2:20" x14ac:dyDescent="0.25">
      <c r="B71" s="526"/>
      <c r="C71" s="471"/>
      <c r="D71" s="471"/>
      <c r="E71" s="471"/>
      <c r="F71" s="471"/>
      <c r="G71" s="471"/>
      <c r="H71" s="471"/>
      <c r="I71" s="471"/>
      <c r="J71" s="516"/>
      <c r="K71" s="506"/>
      <c r="L71" s="506"/>
      <c r="M71" s="506"/>
      <c r="N71" s="124" t="s">
        <v>62</v>
      </c>
      <c r="O71" s="125">
        <v>743</v>
      </c>
      <c r="P71" s="506"/>
      <c r="Q71" s="506"/>
      <c r="R71" s="516"/>
      <c r="S71" s="540"/>
      <c r="T71" s="525"/>
    </row>
    <row r="72" spans="2:20" x14ac:dyDescent="0.25">
      <c r="B72" s="526">
        <v>45</v>
      </c>
      <c r="C72" s="471" t="s">
        <v>106</v>
      </c>
      <c r="D72" s="471"/>
      <c r="E72" s="471"/>
      <c r="F72" s="471"/>
      <c r="G72" s="471"/>
      <c r="H72" s="471"/>
      <c r="I72" s="471"/>
      <c r="J72" s="516">
        <v>729</v>
      </c>
      <c r="K72" s="506"/>
      <c r="L72" s="506"/>
      <c r="M72" s="506"/>
      <c r="N72" s="124" t="s">
        <v>61</v>
      </c>
      <c r="O72" s="125">
        <v>744</v>
      </c>
      <c r="P72" s="506"/>
      <c r="Q72" s="506"/>
      <c r="R72" s="516">
        <v>544</v>
      </c>
      <c r="S72" s="540"/>
      <c r="T72" s="525" t="s">
        <v>44</v>
      </c>
    </row>
    <row r="73" spans="2:20" x14ac:dyDescent="0.25">
      <c r="B73" s="526"/>
      <c r="C73" s="471"/>
      <c r="D73" s="471"/>
      <c r="E73" s="471"/>
      <c r="F73" s="471"/>
      <c r="G73" s="471"/>
      <c r="H73" s="471"/>
      <c r="I73" s="471"/>
      <c r="J73" s="516"/>
      <c r="K73" s="506"/>
      <c r="L73" s="506"/>
      <c r="M73" s="506"/>
      <c r="N73" s="124" t="s">
        <v>62</v>
      </c>
      <c r="O73" s="125">
        <v>745</v>
      </c>
      <c r="P73" s="506"/>
      <c r="Q73" s="506"/>
      <c r="R73" s="516"/>
      <c r="S73" s="540"/>
      <c r="T73" s="525"/>
    </row>
    <row r="74" spans="2:20" x14ac:dyDescent="0.25">
      <c r="B74" s="49">
        <v>46</v>
      </c>
      <c r="C74" s="471" t="s">
        <v>107</v>
      </c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125">
        <v>523</v>
      </c>
      <c r="S74" s="127"/>
      <c r="T74" s="48" t="s">
        <v>44</v>
      </c>
    </row>
    <row r="75" spans="2:20" x14ac:dyDescent="0.25">
      <c r="B75" s="49">
        <v>47</v>
      </c>
      <c r="C75" s="471" t="s">
        <v>108</v>
      </c>
      <c r="D75" s="471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125">
        <v>712</v>
      </c>
      <c r="S75" s="127"/>
      <c r="T75" s="48" t="s">
        <v>44</v>
      </c>
    </row>
    <row r="76" spans="2:20" x14ac:dyDescent="0.25">
      <c r="B76" s="49">
        <v>48</v>
      </c>
      <c r="C76" s="471" t="s">
        <v>109</v>
      </c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125">
        <v>757</v>
      </c>
      <c r="S76" s="127"/>
      <c r="T76" s="48" t="s">
        <v>44</v>
      </c>
    </row>
    <row r="77" spans="2:20" ht="15.75" thickBot="1" x14ac:dyDescent="0.3">
      <c r="B77" s="10">
        <v>49</v>
      </c>
      <c r="C77" s="470" t="s">
        <v>110</v>
      </c>
      <c r="D77" s="470"/>
      <c r="E77" s="470"/>
      <c r="F77" s="470"/>
      <c r="G77" s="470"/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52">
        <v>537</v>
      </c>
      <c r="S77" s="12">
        <f>+S51+S52+S53+S54+S56-S55+S58+S59+S60+S67-S61-S62-S63-S64-S65+S70+S72+S74+S75+S76-S66</f>
        <v>1138850</v>
      </c>
      <c r="T77" s="11" t="s">
        <v>65</v>
      </c>
    </row>
    <row r="78" spans="2:20" ht="15.75" thickBot="1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5">
      <c r="B79" s="484" t="s">
        <v>111</v>
      </c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 t="s">
        <v>112</v>
      </c>
      <c r="S79" s="485"/>
      <c r="T79" s="498"/>
    </row>
    <row r="80" spans="2:20" ht="30" customHeight="1" thickBot="1" x14ac:dyDescent="0.3">
      <c r="B80" s="356">
        <v>50</v>
      </c>
      <c r="C80" s="537" t="s">
        <v>113</v>
      </c>
      <c r="D80" s="537"/>
      <c r="E80" s="537"/>
      <c r="F80" s="280">
        <v>77</v>
      </c>
      <c r="G80" s="538">
        <f>IF(S37&gt;S77,0,S77-S37)</f>
        <v>1138850</v>
      </c>
      <c r="H80" s="538"/>
      <c r="I80" s="52">
        <v>756</v>
      </c>
      <c r="J80" s="470" t="s">
        <v>114</v>
      </c>
      <c r="K80" s="470"/>
      <c r="L80" s="13"/>
      <c r="M80" s="52">
        <v>755</v>
      </c>
      <c r="N80" s="539">
        <f>IF(L80="SI",S37-S77,0)</f>
        <v>0</v>
      </c>
      <c r="O80" s="539"/>
      <c r="P80" s="470" t="s">
        <v>115</v>
      </c>
      <c r="Q80" s="470"/>
      <c r="R80" s="52">
        <v>89</v>
      </c>
      <c r="S80" s="50">
        <f>IF(L80="SI",0,IF(S37&gt;S77,S37-S77,0))</f>
        <v>0</v>
      </c>
      <c r="T80" s="11" t="s">
        <v>44</v>
      </c>
    </row>
    <row r="81" spans="2:20" x14ac:dyDescent="0.25">
      <c r="B81" s="484" t="s">
        <v>116</v>
      </c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  <c r="N81" s="485"/>
      <c r="O81" s="485"/>
      <c r="P81" s="485"/>
      <c r="Q81" s="485"/>
      <c r="R81" s="485" t="s">
        <v>112</v>
      </c>
      <c r="S81" s="485"/>
      <c r="T81" s="498"/>
    </row>
    <row r="82" spans="2:20" ht="39" customHeight="1" thickBot="1" x14ac:dyDescent="0.3">
      <c r="B82" s="49">
        <v>51</v>
      </c>
      <c r="C82" s="471" t="s">
        <v>117</v>
      </c>
      <c r="D82" s="471"/>
      <c r="E82" s="471"/>
      <c r="F82" s="125">
        <v>772</v>
      </c>
      <c r="G82" s="527"/>
      <c r="H82" s="527"/>
      <c r="I82" s="125">
        <v>773</v>
      </c>
      <c r="J82" s="471" t="s">
        <v>118</v>
      </c>
      <c r="K82" s="471"/>
      <c r="L82" s="136"/>
      <c r="M82" s="125">
        <v>774</v>
      </c>
      <c r="N82" s="527"/>
      <c r="O82" s="527"/>
      <c r="P82" s="471" t="s">
        <v>119</v>
      </c>
      <c r="Q82" s="471"/>
      <c r="R82" s="125">
        <v>775</v>
      </c>
      <c r="S82" s="135"/>
      <c r="T82" s="48" t="s">
        <v>44</v>
      </c>
    </row>
    <row r="83" spans="2:20" ht="27" customHeight="1" x14ac:dyDescent="0.25">
      <c r="B83" s="484" t="s">
        <v>116</v>
      </c>
      <c r="C83" s="485"/>
      <c r="D83" s="485"/>
      <c r="E83" s="485"/>
      <c r="F83" s="485"/>
      <c r="G83" s="485"/>
      <c r="H83" s="485"/>
      <c r="I83" s="485"/>
      <c r="J83" s="485"/>
      <c r="K83" s="485"/>
      <c r="L83" s="485"/>
      <c r="M83" s="485"/>
      <c r="N83" s="485"/>
      <c r="O83" s="485"/>
      <c r="P83" s="485"/>
      <c r="Q83" s="485"/>
      <c r="R83" s="485" t="s">
        <v>112</v>
      </c>
      <c r="S83" s="485"/>
      <c r="T83" s="498"/>
    </row>
    <row r="84" spans="2:20" ht="51" customHeight="1" x14ac:dyDescent="0.25">
      <c r="B84" s="49">
        <v>52</v>
      </c>
      <c r="C84" s="471" t="s">
        <v>120</v>
      </c>
      <c r="D84" s="471"/>
      <c r="E84" s="471"/>
      <c r="F84" s="125">
        <v>777</v>
      </c>
      <c r="G84" s="527"/>
      <c r="H84" s="527"/>
      <c r="I84" s="125">
        <v>778</v>
      </c>
      <c r="J84" s="471" t="s">
        <v>121</v>
      </c>
      <c r="K84" s="471"/>
      <c r="L84" s="136"/>
      <c r="M84" s="125">
        <v>779</v>
      </c>
      <c r="N84" s="527"/>
      <c r="O84" s="527"/>
      <c r="P84" s="471" t="s">
        <v>119</v>
      </c>
      <c r="Q84" s="471"/>
      <c r="R84" s="125">
        <v>780</v>
      </c>
      <c r="S84" s="137"/>
      <c r="T84" s="48" t="s">
        <v>44</v>
      </c>
    </row>
    <row r="85" spans="2:20" x14ac:dyDescent="0.25">
      <c r="B85" s="49">
        <v>53</v>
      </c>
      <c r="C85" s="471" t="s">
        <v>122</v>
      </c>
      <c r="D85" s="471"/>
      <c r="E85" s="471"/>
      <c r="F85" s="125">
        <v>782</v>
      </c>
      <c r="G85" s="527"/>
      <c r="H85" s="527"/>
      <c r="I85" s="528" t="s">
        <v>123</v>
      </c>
      <c r="J85" s="529"/>
      <c r="K85" s="529"/>
      <c r="L85" s="529"/>
      <c r="M85" s="529"/>
      <c r="N85" s="529"/>
      <c r="O85" s="529"/>
      <c r="P85" s="529"/>
      <c r="Q85" s="530"/>
      <c r="R85" s="125">
        <v>783</v>
      </c>
      <c r="S85" s="137"/>
      <c r="T85" s="48" t="s">
        <v>44</v>
      </c>
    </row>
    <row r="86" spans="2:20" x14ac:dyDescent="0.25">
      <c r="B86" s="49">
        <v>54</v>
      </c>
      <c r="C86" s="471" t="s">
        <v>124</v>
      </c>
      <c r="D86" s="471"/>
      <c r="E86" s="471"/>
      <c r="F86" s="125">
        <v>784</v>
      </c>
      <c r="G86" s="527"/>
      <c r="H86" s="527"/>
      <c r="I86" s="528" t="s">
        <v>123</v>
      </c>
      <c r="J86" s="529"/>
      <c r="K86" s="529"/>
      <c r="L86" s="529"/>
      <c r="M86" s="529"/>
      <c r="N86" s="529"/>
      <c r="O86" s="529"/>
      <c r="P86" s="529"/>
      <c r="Q86" s="530"/>
      <c r="R86" s="125">
        <v>785</v>
      </c>
      <c r="S86" s="137"/>
      <c r="T86" s="48" t="s">
        <v>44</v>
      </c>
    </row>
    <row r="87" spans="2:20" x14ac:dyDescent="0.25">
      <c r="B87" s="49">
        <v>55</v>
      </c>
      <c r="C87" s="471" t="s">
        <v>125</v>
      </c>
      <c r="D87" s="471"/>
      <c r="E87" s="471"/>
      <c r="F87" s="125">
        <v>786</v>
      </c>
      <c r="G87" s="527"/>
      <c r="H87" s="527"/>
      <c r="I87" s="528" t="s">
        <v>123</v>
      </c>
      <c r="J87" s="529"/>
      <c r="K87" s="529"/>
      <c r="L87" s="529"/>
      <c r="M87" s="529"/>
      <c r="N87" s="529"/>
      <c r="O87" s="529"/>
      <c r="P87" s="529"/>
      <c r="Q87" s="530"/>
      <c r="R87" s="125">
        <v>787</v>
      </c>
      <c r="S87" s="137"/>
      <c r="T87" s="48" t="s">
        <v>44</v>
      </c>
    </row>
    <row r="88" spans="2:20" ht="15.75" thickBot="1" x14ac:dyDescent="0.3">
      <c r="B88" s="14">
        <v>56</v>
      </c>
      <c r="C88" s="472" t="s">
        <v>126</v>
      </c>
      <c r="D88" s="472"/>
      <c r="E88" s="472"/>
      <c r="F88" s="15">
        <v>788</v>
      </c>
      <c r="G88" s="531"/>
      <c r="H88" s="531"/>
      <c r="I88" s="532" t="s">
        <v>123</v>
      </c>
      <c r="J88" s="533"/>
      <c r="K88" s="533"/>
      <c r="L88" s="533"/>
      <c r="M88" s="533"/>
      <c r="N88" s="533"/>
      <c r="O88" s="533"/>
      <c r="P88" s="533"/>
      <c r="Q88" s="534"/>
      <c r="R88" s="15">
        <v>789</v>
      </c>
      <c r="S88" s="16"/>
      <c r="T88" s="17" t="s">
        <v>44</v>
      </c>
    </row>
    <row r="89" spans="2:20" ht="15.75" thickBot="1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0" x14ac:dyDescent="0.25">
      <c r="B90" s="18">
        <v>57</v>
      </c>
      <c r="C90" s="473" t="s">
        <v>127</v>
      </c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8">
        <v>760</v>
      </c>
      <c r="S90" s="19"/>
      <c r="T90" s="20" t="s">
        <v>44</v>
      </c>
    </row>
    <row r="91" spans="2:20" ht="15.75" thickBot="1" x14ac:dyDescent="0.3">
      <c r="B91" s="14">
        <v>58</v>
      </c>
      <c r="C91" s="472" t="s">
        <v>128</v>
      </c>
      <c r="D91" s="472"/>
      <c r="E91" s="472"/>
      <c r="F91" s="472"/>
      <c r="G91" s="472"/>
      <c r="H91" s="472"/>
      <c r="I91" s="472"/>
      <c r="J91" s="472"/>
      <c r="K91" s="472"/>
      <c r="L91" s="472"/>
      <c r="M91" s="472"/>
      <c r="N91" s="472"/>
      <c r="O91" s="472"/>
      <c r="P91" s="472"/>
      <c r="Q91" s="472"/>
      <c r="R91" s="15">
        <v>767</v>
      </c>
      <c r="S91" s="21"/>
      <c r="T91" s="17" t="s">
        <v>44</v>
      </c>
    </row>
    <row r="92" spans="2:20" ht="15.75" thickBot="1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2:20" x14ac:dyDescent="0.25">
      <c r="B93" s="484" t="s">
        <v>129</v>
      </c>
      <c r="C93" s="485"/>
      <c r="D93" s="485"/>
      <c r="E93" s="485"/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P93" s="485"/>
      <c r="Q93" s="485"/>
      <c r="R93" s="485"/>
      <c r="S93" s="485"/>
      <c r="T93" s="46"/>
    </row>
    <row r="94" spans="2:20" x14ac:dyDescent="0.25">
      <c r="B94" s="518" t="s">
        <v>130</v>
      </c>
      <c r="C94" s="519"/>
      <c r="D94" s="519"/>
      <c r="E94" s="519"/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47"/>
    </row>
    <row r="95" spans="2:20" x14ac:dyDescent="0.25">
      <c r="B95" s="49">
        <v>59</v>
      </c>
      <c r="C95" s="471" t="s">
        <v>131</v>
      </c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125">
        <v>50</v>
      </c>
      <c r="S95" s="127"/>
      <c r="T95" s="48" t="s">
        <v>44</v>
      </c>
    </row>
    <row r="96" spans="2:20" x14ac:dyDescent="0.25">
      <c r="B96" s="526">
        <v>60</v>
      </c>
      <c r="C96" s="471" t="s">
        <v>132</v>
      </c>
      <c r="D96" s="471"/>
      <c r="E96" s="471"/>
      <c r="F96" s="471"/>
      <c r="G96" s="471" t="s">
        <v>133</v>
      </c>
      <c r="H96" s="471"/>
      <c r="I96" s="516">
        <v>751</v>
      </c>
      <c r="J96" s="471" t="s">
        <v>134</v>
      </c>
      <c r="K96" s="471"/>
      <c r="L96" s="471"/>
      <c r="M96" s="516">
        <v>735</v>
      </c>
      <c r="N96" s="471" t="s">
        <v>135</v>
      </c>
      <c r="O96" s="471"/>
      <c r="P96" s="471" t="s">
        <v>136</v>
      </c>
      <c r="Q96" s="471"/>
      <c r="R96" s="516">
        <v>48</v>
      </c>
      <c r="S96" s="524"/>
      <c r="T96" s="525" t="s">
        <v>44</v>
      </c>
    </row>
    <row r="97" spans="2:20" x14ac:dyDescent="0.25">
      <c r="B97" s="526"/>
      <c r="C97" s="471"/>
      <c r="D97" s="471"/>
      <c r="E97" s="471"/>
      <c r="F97" s="471"/>
      <c r="G97" s="471"/>
      <c r="H97" s="471"/>
      <c r="I97" s="516"/>
      <c r="J97" s="506"/>
      <c r="K97" s="506"/>
      <c r="L97" s="506"/>
      <c r="M97" s="516"/>
      <c r="N97" s="506"/>
      <c r="O97" s="506"/>
      <c r="P97" s="471"/>
      <c r="Q97" s="471"/>
      <c r="R97" s="516"/>
      <c r="S97" s="524"/>
      <c r="T97" s="525"/>
    </row>
    <row r="98" spans="2:20" x14ac:dyDescent="0.25">
      <c r="B98" s="49">
        <v>61</v>
      </c>
      <c r="C98" s="471" t="s">
        <v>498</v>
      </c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125">
        <v>151</v>
      </c>
      <c r="S98" s="132"/>
      <c r="T98" s="48" t="s">
        <v>44</v>
      </c>
    </row>
    <row r="99" spans="2:20" x14ac:dyDescent="0.25">
      <c r="B99" s="49">
        <v>62</v>
      </c>
      <c r="C99" s="471" t="s">
        <v>137</v>
      </c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125">
        <v>153</v>
      </c>
      <c r="S99" s="132"/>
      <c r="T99" s="48" t="s">
        <v>44</v>
      </c>
    </row>
    <row r="100" spans="2:20" ht="15" customHeight="1" x14ac:dyDescent="0.25">
      <c r="B100" s="49"/>
      <c r="C100" s="545" t="s">
        <v>475</v>
      </c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7"/>
      <c r="R100" s="188">
        <v>49</v>
      </c>
      <c r="S100" s="189"/>
      <c r="T100" s="48"/>
    </row>
    <row r="101" spans="2:20" x14ac:dyDescent="0.25">
      <c r="B101" s="49"/>
      <c r="C101" s="545" t="s">
        <v>476</v>
      </c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6"/>
      <c r="Q101" s="547"/>
      <c r="R101" s="188">
        <v>155</v>
      </c>
      <c r="S101" s="189"/>
      <c r="T101" s="48"/>
    </row>
    <row r="102" spans="2:20" x14ac:dyDescent="0.25">
      <c r="B102" s="49">
        <v>63</v>
      </c>
      <c r="C102" s="471" t="s">
        <v>138</v>
      </c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125">
        <v>54</v>
      </c>
      <c r="S102" s="132"/>
      <c r="T102" s="48" t="s">
        <v>44</v>
      </c>
    </row>
    <row r="103" spans="2:20" x14ac:dyDescent="0.25">
      <c r="B103" s="49">
        <v>64</v>
      </c>
      <c r="C103" s="471" t="s">
        <v>139</v>
      </c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125">
        <v>56</v>
      </c>
      <c r="S103" s="132"/>
      <c r="T103" s="48" t="s">
        <v>44</v>
      </c>
    </row>
    <row r="104" spans="2:20" x14ac:dyDescent="0.25">
      <c r="B104" s="49">
        <v>65</v>
      </c>
      <c r="C104" s="471" t="s">
        <v>140</v>
      </c>
      <c r="D104" s="471"/>
      <c r="E104" s="471"/>
      <c r="F104" s="471"/>
      <c r="G104" s="471"/>
      <c r="H104" s="471"/>
      <c r="I104" s="471"/>
      <c r="J104" s="471"/>
      <c r="K104" s="471"/>
      <c r="L104" s="471"/>
      <c r="M104" s="471"/>
      <c r="N104" s="471"/>
      <c r="O104" s="471"/>
      <c r="P104" s="471"/>
      <c r="Q104" s="471"/>
      <c r="R104" s="125">
        <v>588</v>
      </c>
      <c r="S104" s="132"/>
      <c r="T104" s="48" t="s">
        <v>44</v>
      </c>
    </row>
    <row r="105" spans="2:20" x14ac:dyDescent="0.25">
      <c r="B105" s="49">
        <v>66</v>
      </c>
      <c r="C105" s="471" t="s">
        <v>141</v>
      </c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125">
        <v>589</v>
      </c>
      <c r="S105" s="132"/>
      <c r="T105" s="48" t="s">
        <v>44</v>
      </c>
    </row>
    <row r="106" spans="2:20" x14ac:dyDescent="0.25">
      <c r="B106" s="518" t="s">
        <v>142</v>
      </c>
      <c r="C106" s="519"/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47"/>
    </row>
    <row r="107" spans="2:20" ht="30" customHeight="1" x14ac:dyDescent="0.25">
      <c r="B107" s="49"/>
      <c r="C107" s="125"/>
      <c r="D107" s="516" t="s">
        <v>143</v>
      </c>
      <c r="E107" s="516"/>
      <c r="F107" s="516"/>
      <c r="G107" s="516" t="s">
        <v>144</v>
      </c>
      <c r="H107" s="516"/>
      <c r="I107" s="516" t="s">
        <v>145</v>
      </c>
      <c r="J107" s="516"/>
      <c r="K107" s="516"/>
      <c r="L107" s="516"/>
      <c r="M107" s="516" t="s">
        <v>146</v>
      </c>
      <c r="N107" s="516"/>
      <c r="O107" s="516" t="s">
        <v>147</v>
      </c>
      <c r="P107" s="516"/>
      <c r="Q107" s="516"/>
      <c r="R107" s="516" t="s">
        <v>148</v>
      </c>
      <c r="S107" s="516"/>
      <c r="T107" s="517"/>
    </row>
    <row r="108" spans="2:20" ht="30" x14ac:dyDescent="0.25">
      <c r="B108" s="49">
        <v>67</v>
      </c>
      <c r="C108" s="138" t="s">
        <v>149</v>
      </c>
      <c r="D108" s="516">
        <v>750</v>
      </c>
      <c r="E108" s="516"/>
      <c r="F108" s="139"/>
      <c r="G108" s="125">
        <v>30</v>
      </c>
      <c r="H108" s="129">
        <v>0</v>
      </c>
      <c r="I108" s="125">
        <v>563</v>
      </c>
      <c r="J108" s="585"/>
      <c r="K108" s="585"/>
      <c r="L108" s="585"/>
      <c r="M108" s="125">
        <v>115</v>
      </c>
      <c r="N108" s="128"/>
      <c r="O108" s="125">
        <v>68</v>
      </c>
      <c r="P108" s="506"/>
      <c r="Q108" s="506"/>
      <c r="R108" s="125">
        <v>62</v>
      </c>
      <c r="S108" s="134">
        <f>IF(F108="SI",0,ROUND(J108*N108%,0))</f>
        <v>0</v>
      </c>
      <c r="T108" s="48" t="s">
        <v>44</v>
      </c>
    </row>
    <row r="109" spans="2:20" x14ac:dyDescent="0.25">
      <c r="B109" s="49">
        <v>68</v>
      </c>
      <c r="C109" s="471" t="s">
        <v>150</v>
      </c>
      <c r="D109" s="471"/>
      <c r="E109" s="471"/>
      <c r="F109" s="471"/>
      <c r="G109" s="125">
        <v>565</v>
      </c>
      <c r="H109" s="126"/>
      <c r="I109" s="125">
        <v>120</v>
      </c>
      <c r="J109" s="506"/>
      <c r="K109" s="506"/>
      <c r="L109" s="506"/>
      <c r="M109" s="125">
        <v>542</v>
      </c>
      <c r="N109" s="126"/>
      <c r="O109" s="125">
        <v>122</v>
      </c>
      <c r="P109" s="506"/>
      <c r="Q109" s="506"/>
      <c r="R109" s="125">
        <v>123</v>
      </c>
      <c r="S109" s="134"/>
      <c r="T109" s="48" t="s">
        <v>44</v>
      </c>
    </row>
    <row r="110" spans="2:20" x14ac:dyDescent="0.25">
      <c r="B110" s="49">
        <v>69</v>
      </c>
      <c r="C110" s="471" t="s">
        <v>151</v>
      </c>
      <c r="D110" s="471"/>
      <c r="E110" s="471"/>
      <c r="F110" s="471"/>
      <c r="G110" s="125">
        <v>700</v>
      </c>
      <c r="H110" s="126"/>
      <c r="I110" s="125">
        <v>701</v>
      </c>
      <c r="J110" s="506"/>
      <c r="K110" s="506"/>
      <c r="L110" s="506"/>
      <c r="M110" s="125">
        <v>702</v>
      </c>
      <c r="N110" s="126"/>
      <c r="O110" s="125">
        <v>711</v>
      </c>
      <c r="P110" s="506"/>
      <c r="Q110" s="506"/>
      <c r="R110" s="125">
        <v>703</v>
      </c>
      <c r="S110" s="134"/>
      <c r="T110" s="48" t="s">
        <v>44</v>
      </c>
    </row>
    <row r="111" spans="2:20" x14ac:dyDescent="0.25">
      <c r="B111" s="49">
        <v>70</v>
      </c>
      <c r="C111" s="471" t="s">
        <v>152</v>
      </c>
      <c r="D111" s="471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125">
        <v>66</v>
      </c>
      <c r="S111" s="127"/>
      <c r="T111" s="48" t="s">
        <v>44</v>
      </c>
    </row>
    <row r="112" spans="2:20" x14ac:dyDescent="0.25">
      <c r="B112" s="474">
        <v>71</v>
      </c>
      <c r="C112" s="510" t="s">
        <v>153</v>
      </c>
      <c r="D112" s="511"/>
      <c r="E112" s="511"/>
      <c r="F112" s="512"/>
      <c r="G112" s="516" t="s">
        <v>154</v>
      </c>
      <c r="H112" s="516"/>
      <c r="I112" s="516" t="s">
        <v>155</v>
      </c>
      <c r="J112" s="516"/>
      <c r="K112" s="516"/>
      <c r="L112" s="516"/>
      <c r="M112" s="516" t="s">
        <v>156</v>
      </c>
      <c r="N112" s="516"/>
      <c r="O112" s="516"/>
      <c r="P112" s="516"/>
      <c r="Q112" s="516"/>
      <c r="R112" s="516"/>
      <c r="S112" s="516"/>
      <c r="T112" s="517"/>
    </row>
    <row r="113" spans="2:20" x14ac:dyDescent="0.25">
      <c r="B113" s="475"/>
      <c r="C113" s="513"/>
      <c r="D113" s="514"/>
      <c r="E113" s="514"/>
      <c r="F113" s="515"/>
      <c r="G113" s="125">
        <v>721</v>
      </c>
      <c r="H113" s="126"/>
      <c r="I113" s="125">
        <v>722</v>
      </c>
      <c r="J113" s="506"/>
      <c r="K113" s="506"/>
      <c r="L113" s="506"/>
      <c r="M113" s="125">
        <v>724</v>
      </c>
      <c r="N113" s="509"/>
      <c r="O113" s="509"/>
      <c r="P113" s="471" t="s">
        <v>157</v>
      </c>
      <c r="Q113" s="471"/>
      <c r="R113" s="125">
        <v>723</v>
      </c>
      <c r="S113" s="134"/>
      <c r="T113" s="48" t="s">
        <v>51</v>
      </c>
    </row>
    <row r="114" spans="2:20" x14ac:dyDescent="0.25">
      <c r="B114" s="49">
        <v>72</v>
      </c>
      <c r="C114" s="471" t="s">
        <v>158</v>
      </c>
      <c r="D114" s="471"/>
      <c r="E114" s="471"/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P114" s="471"/>
      <c r="Q114" s="471"/>
      <c r="R114" s="125">
        <v>152</v>
      </c>
      <c r="S114" s="127"/>
      <c r="T114" s="48" t="s">
        <v>44</v>
      </c>
    </row>
    <row r="115" spans="2:20" x14ac:dyDescent="0.25">
      <c r="B115" s="49">
        <v>73</v>
      </c>
      <c r="C115" s="471" t="s">
        <v>159</v>
      </c>
      <c r="D115" s="471"/>
      <c r="E115" s="471"/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P115" s="471"/>
      <c r="Q115" s="471"/>
      <c r="R115" s="125">
        <v>70</v>
      </c>
      <c r="S115" s="127"/>
      <c r="T115" s="48" t="s">
        <v>44</v>
      </c>
    </row>
    <row r="116" spans="2:20" ht="15.75" thickBot="1" x14ac:dyDescent="0.3">
      <c r="B116" s="14">
        <v>74</v>
      </c>
      <c r="C116" s="472" t="s">
        <v>160</v>
      </c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15">
        <v>766</v>
      </c>
      <c r="S116" s="21"/>
      <c r="T116" s="17"/>
    </row>
    <row r="117" spans="2:20" ht="15.75" thickBot="1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2:20" ht="15.75" thickBot="1" x14ac:dyDescent="0.3">
      <c r="B118" s="22">
        <v>75</v>
      </c>
      <c r="C118" s="483" t="s">
        <v>161</v>
      </c>
      <c r="D118" s="483"/>
      <c r="E118" s="483"/>
      <c r="F118" s="483"/>
      <c r="G118" s="483"/>
      <c r="H118" s="483"/>
      <c r="I118" s="483"/>
      <c r="J118" s="483"/>
      <c r="K118" s="483"/>
      <c r="L118" s="483"/>
      <c r="M118" s="483"/>
      <c r="N118" s="483"/>
      <c r="O118" s="483"/>
      <c r="P118" s="483"/>
      <c r="Q118" s="483"/>
      <c r="R118" s="23">
        <v>595</v>
      </c>
      <c r="S118" s="24">
        <f>SUM(S80,S95:S105,S108:S111)</f>
        <v>0</v>
      </c>
      <c r="T118" s="25" t="s">
        <v>65</v>
      </c>
    </row>
    <row r="119" spans="2:20" ht="15.75" thickBot="1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2:20" x14ac:dyDescent="0.25">
      <c r="B120" s="484" t="s">
        <v>162</v>
      </c>
      <c r="C120" s="485"/>
      <c r="D120" s="485"/>
      <c r="E120" s="485"/>
      <c r="F120" s="485"/>
      <c r="G120" s="485"/>
      <c r="H120" s="485"/>
      <c r="I120" s="485"/>
      <c r="J120" s="485"/>
      <c r="K120" s="485"/>
      <c r="L120" s="485"/>
      <c r="M120" s="485"/>
      <c r="N120" s="485"/>
      <c r="O120" s="485"/>
      <c r="P120" s="485"/>
      <c r="Q120" s="485"/>
      <c r="R120" s="485"/>
      <c r="S120" s="485"/>
      <c r="T120" s="46"/>
    </row>
    <row r="121" spans="2:20" x14ac:dyDescent="0.25">
      <c r="B121" s="503"/>
      <c r="C121" s="504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 t="s">
        <v>112</v>
      </c>
      <c r="S121" s="504"/>
      <c r="T121" s="505"/>
    </row>
    <row r="122" spans="2:20" x14ac:dyDescent="0.25">
      <c r="B122" s="49">
        <v>76</v>
      </c>
      <c r="C122" s="471" t="s">
        <v>163</v>
      </c>
      <c r="D122" s="471"/>
      <c r="E122" s="471"/>
      <c r="F122" s="471"/>
      <c r="G122" s="471"/>
      <c r="H122" s="471"/>
      <c r="I122" s="471"/>
      <c r="J122" s="471"/>
      <c r="K122" s="471"/>
      <c r="L122" s="471"/>
      <c r="M122" s="471"/>
      <c r="N122" s="471"/>
      <c r="O122" s="471"/>
      <c r="P122" s="471"/>
      <c r="Q122" s="471"/>
      <c r="R122" s="125">
        <v>529</v>
      </c>
      <c r="S122" s="127"/>
      <c r="T122" s="48"/>
    </row>
    <row r="123" spans="2:20" x14ac:dyDescent="0.25">
      <c r="B123" s="49">
        <v>77</v>
      </c>
      <c r="C123" s="471" t="s">
        <v>164</v>
      </c>
      <c r="D123" s="471"/>
      <c r="E123" s="471"/>
      <c r="F123" s="471"/>
      <c r="G123" s="471"/>
      <c r="H123" s="471"/>
      <c r="I123" s="471"/>
      <c r="J123" s="471"/>
      <c r="K123" s="471"/>
      <c r="L123" s="471"/>
      <c r="M123" s="471"/>
      <c r="N123" s="471"/>
      <c r="O123" s="471"/>
      <c r="P123" s="471"/>
      <c r="Q123" s="471"/>
      <c r="R123" s="125">
        <v>530</v>
      </c>
      <c r="S123" s="127"/>
      <c r="T123" s="48"/>
    </row>
    <row r="124" spans="2:20" ht="15.75" thickBot="1" x14ac:dyDescent="0.3">
      <c r="B124" s="10">
        <v>78</v>
      </c>
      <c r="C124" s="470" t="s">
        <v>165</v>
      </c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52">
        <v>409</v>
      </c>
      <c r="S124" s="26"/>
      <c r="T124" s="11" t="s">
        <v>44</v>
      </c>
    </row>
    <row r="125" spans="2:20" ht="15.75" thickBot="1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2:20" x14ac:dyDescent="0.25">
      <c r="B126" s="484" t="s">
        <v>166</v>
      </c>
      <c r="C126" s="485"/>
      <c r="D126" s="485"/>
      <c r="E126" s="485"/>
      <c r="F126" s="485"/>
      <c r="G126" s="485"/>
      <c r="H126" s="485"/>
      <c r="I126" s="485"/>
      <c r="J126" s="485"/>
      <c r="K126" s="485"/>
      <c r="L126" s="485"/>
      <c r="M126" s="485"/>
      <c r="N126" s="485"/>
      <c r="O126" s="485"/>
      <c r="P126" s="485"/>
      <c r="Q126" s="485"/>
      <c r="R126" s="485"/>
      <c r="S126" s="485"/>
      <c r="T126" s="46"/>
    </row>
    <row r="127" spans="2:20" x14ac:dyDescent="0.25">
      <c r="B127" s="49">
        <v>79</v>
      </c>
      <c r="C127" s="471" t="s">
        <v>167</v>
      </c>
      <c r="D127" s="471"/>
      <c r="E127" s="471"/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P127" s="471"/>
      <c r="Q127" s="471"/>
      <c r="R127" s="125">
        <v>522</v>
      </c>
      <c r="S127" s="127"/>
      <c r="T127" s="48" t="s">
        <v>44</v>
      </c>
    </row>
    <row r="128" spans="2:20" x14ac:dyDescent="0.25">
      <c r="B128" s="49">
        <v>80</v>
      </c>
      <c r="C128" s="471" t="s">
        <v>168</v>
      </c>
      <c r="D128" s="471"/>
      <c r="E128" s="471"/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P128" s="471"/>
      <c r="Q128" s="471"/>
      <c r="R128" s="125">
        <v>526</v>
      </c>
      <c r="S128" s="127"/>
      <c r="T128" s="48" t="s">
        <v>44</v>
      </c>
    </row>
    <row r="129" spans="2:20" x14ac:dyDescent="0.25">
      <c r="B129" s="49">
        <v>81</v>
      </c>
      <c r="C129" s="471" t="s">
        <v>169</v>
      </c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125">
        <v>113</v>
      </c>
      <c r="S129" s="127"/>
      <c r="T129" s="48" t="s">
        <v>44</v>
      </c>
    </row>
    <row r="130" spans="2:20" x14ac:dyDescent="0.25">
      <c r="B130" s="49">
        <v>82</v>
      </c>
      <c r="C130" s="471" t="s">
        <v>170</v>
      </c>
      <c r="D130" s="471"/>
      <c r="E130" s="471"/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P130" s="471"/>
      <c r="Q130" s="471"/>
      <c r="R130" s="125">
        <v>28</v>
      </c>
      <c r="S130" s="127"/>
      <c r="T130" s="48" t="s">
        <v>51</v>
      </c>
    </row>
    <row r="131" spans="2:20" x14ac:dyDescent="0.25">
      <c r="B131" s="49">
        <v>83</v>
      </c>
      <c r="C131" s="471" t="s">
        <v>171</v>
      </c>
      <c r="D131" s="471"/>
      <c r="E131" s="471"/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P131" s="471"/>
      <c r="Q131" s="471"/>
      <c r="R131" s="125">
        <v>548</v>
      </c>
      <c r="S131" s="127"/>
      <c r="T131" s="48" t="s">
        <v>51</v>
      </c>
    </row>
    <row r="132" spans="2:20" x14ac:dyDescent="0.25">
      <c r="B132" s="49">
        <v>84</v>
      </c>
      <c r="C132" s="471" t="s">
        <v>172</v>
      </c>
      <c r="D132" s="471"/>
      <c r="E132" s="471"/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P132" s="471"/>
      <c r="Q132" s="471"/>
      <c r="R132" s="125">
        <v>540</v>
      </c>
      <c r="S132" s="127"/>
      <c r="T132" s="48" t="s">
        <v>51</v>
      </c>
    </row>
    <row r="133" spans="2:20" x14ac:dyDescent="0.25">
      <c r="B133" s="49">
        <v>85</v>
      </c>
      <c r="C133" s="471" t="s">
        <v>173</v>
      </c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P133" s="471"/>
      <c r="Q133" s="471"/>
      <c r="R133" s="125">
        <v>541</v>
      </c>
      <c r="S133" s="127"/>
      <c r="T133" s="48" t="s">
        <v>44</v>
      </c>
    </row>
    <row r="134" spans="2:20" ht="15.75" thickBot="1" x14ac:dyDescent="0.3">
      <c r="B134" s="49">
        <v>86</v>
      </c>
      <c r="C134" s="470" t="s">
        <v>174</v>
      </c>
      <c r="D134" s="470"/>
      <c r="E134" s="470"/>
      <c r="F134" s="470"/>
      <c r="G134" s="470"/>
      <c r="H134" s="470"/>
      <c r="I134" s="52">
        <v>549</v>
      </c>
      <c r="J134" s="507">
        <f>IF(S127+S128+S129+S133-S130-S131-S132&lt;0,-(S127+S128+S129+S133-S130-S131-S132),0)</f>
        <v>0</v>
      </c>
      <c r="K134" s="507"/>
      <c r="L134" s="507"/>
      <c r="M134" s="470" t="s">
        <v>175</v>
      </c>
      <c r="N134" s="470"/>
      <c r="O134" s="470"/>
      <c r="P134" s="470"/>
      <c r="Q134" s="470"/>
      <c r="R134" s="52">
        <v>550</v>
      </c>
      <c r="S134" s="27">
        <f>IF(S127+S128+S129+S133-S130-S131-S132&gt;0,S127+S128+S129+S133-S130-S131-S132,0)</f>
        <v>0</v>
      </c>
      <c r="T134" s="11" t="s">
        <v>44</v>
      </c>
    </row>
    <row r="135" spans="2:20" ht="15.75" thickBot="1" x14ac:dyDescent="0.3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2:20" x14ac:dyDescent="0.25">
      <c r="B136" s="484" t="s">
        <v>176</v>
      </c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  <c r="N136" s="485"/>
      <c r="O136" s="485"/>
      <c r="P136" s="485"/>
      <c r="Q136" s="485"/>
      <c r="R136" s="485"/>
      <c r="S136" s="485"/>
      <c r="T136" s="46"/>
    </row>
    <row r="137" spans="2:20" x14ac:dyDescent="0.25">
      <c r="B137" s="503"/>
      <c r="C137" s="504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 t="s">
        <v>177</v>
      </c>
      <c r="S137" s="504"/>
      <c r="T137" s="505"/>
    </row>
    <row r="138" spans="2:20" x14ac:dyDescent="0.25">
      <c r="B138" s="49">
        <v>87</v>
      </c>
      <c r="C138" s="471" t="s">
        <v>178</v>
      </c>
      <c r="D138" s="471"/>
      <c r="E138" s="471"/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P138" s="471"/>
      <c r="Q138" s="471"/>
      <c r="R138" s="125">
        <v>577</v>
      </c>
      <c r="S138" s="127"/>
      <c r="T138" s="48" t="s">
        <v>44</v>
      </c>
    </row>
    <row r="139" spans="2:20" x14ac:dyDescent="0.25">
      <c r="B139" s="49">
        <v>88</v>
      </c>
      <c r="C139" s="471" t="s">
        <v>179</v>
      </c>
      <c r="D139" s="471"/>
      <c r="E139" s="471"/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P139" s="471"/>
      <c r="Q139" s="471"/>
      <c r="R139" s="125">
        <v>32</v>
      </c>
      <c r="S139" s="127"/>
      <c r="T139" s="48" t="s">
        <v>44</v>
      </c>
    </row>
    <row r="140" spans="2:20" x14ac:dyDescent="0.25">
      <c r="B140" s="49">
        <v>89</v>
      </c>
      <c r="C140" s="471" t="s">
        <v>180</v>
      </c>
      <c r="D140" s="471"/>
      <c r="E140" s="471"/>
      <c r="F140" s="471"/>
      <c r="G140" s="471"/>
      <c r="H140" s="471"/>
      <c r="I140" s="471"/>
      <c r="J140" s="471"/>
      <c r="K140" s="471"/>
      <c r="L140" s="471"/>
      <c r="M140" s="471"/>
      <c r="N140" s="471"/>
      <c r="O140" s="471"/>
      <c r="P140" s="471"/>
      <c r="Q140" s="471"/>
      <c r="R140" s="125">
        <v>150</v>
      </c>
      <c r="S140" s="127"/>
      <c r="T140" s="48" t="s">
        <v>44</v>
      </c>
    </row>
    <row r="141" spans="2:20" x14ac:dyDescent="0.25">
      <c r="B141" s="49">
        <v>90</v>
      </c>
      <c r="C141" s="471" t="s">
        <v>181</v>
      </c>
      <c r="D141" s="471"/>
      <c r="E141" s="471"/>
      <c r="F141" s="471"/>
      <c r="G141" s="471"/>
      <c r="H141" s="471"/>
      <c r="I141" s="471"/>
      <c r="J141" s="471"/>
      <c r="K141" s="471"/>
      <c r="L141" s="471"/>
      <c r="M141" s="471"/>
      <c r="N141" s="471"/>
      <c r="O141" s="471"/>
      <c r="P141" s="471"/>
      <c r="Q141" s="471"/>
      <c r="R141" s="125">
        <v>146</v>
      </c>
      <c r="S141" s="127"/>
      <c r="T141" s="48" t="s">
        <v>44</v>
      </c>
    </row>
    <row r="142" spans="2:20" x14ac:dyDescent="0.25">
      <c r="B142" s="49">
        <v>91</v>
      </c>
      <c r="C142" s="471" t="s">
        <v>182</v>
      </c>
      <c r="D142" s="471"/>
      <c r="E142" s="471"/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P142" s="471"/>
      <c r="Q142" s="471"/>
      <c r="R142" s="125">
        <v>752</v>
      </c>
      <c r="S142" s="127"/>
      <c r="T142" s="48" t="s">
        <v>44</v>
      </c>
    </row>
    <row r="143" spans="2:20" x14ac:dyDescent="0.25">
      <c r="B143" s="49">
        <v>92</v>
      </c>
      <c r="C143" s="471" t="s">
        <v>183</v>
      </c>
      <c r="D143" s="471"/>
      <c r="E143" s="471"/>
      <c r="F143" s="471"/>
      <c r="G143" s="471"/>
      <c r="H143" s="471"/>
      <c r="I143" s="471"/>
      <c r="J143" s="471"/>
      <c r="K143" s="471"/>
      <c r="L143" s="471"/>
      <c r="M143" s="471"/>
      <c r="N143" s="471"/>
      <c r="O143" s="471"/>
      <c r="P143" s="471"/>
      <c r="Q143" s="471"/>
      <c r="R143" s="125">
        <v>545</v>
      </c>
      <c r="S143" s="127"/>
      <c r="T143" s="48" t="s">
        <v>44</v>
      </c>
    </row>
    <row r="144" spans="2:20" x14ac:dyDescent="0.25">
      <c r="B144" s="49">
        <v>93</v>
      </c>
      <c r="C144" s="471" t="s">
        <v>184</v>
      </c>
      <c r="D144" s="471"/>
      <c r="E144" s="471"/>
      <c r="F144" s="471"/>
      <c r="G144" s="471"/>
      <c r="H144" s="471"/>
      <c r="I144" s="471"/>
      <c r="J144" s="471"/>
      <c r="K144" s="471"/>
      <c r="L144" s="471"/>
      <c r="M144" s="471"/>
      <c r="N144" s="471"/>
      <c r="O144" s="471"/>
      <c r="P144" s="471"/>
      <c r="Q144" s="471"/>
      <c r="R144" s="125">
        <v>546</v>
      </c>
      <c r="S144" s="127"/>
      <c r="T144" s="48" t="s">
        <v>51</v>
      </c>
    </row>
    <row r="145" spans="2:20" x14ac:dyDescent="0.25">
      <c r="B145" s="49">
        <v>94</v>
      </c>
      <c r="C145" s="471" t="s">
        <v>52</v>
      </c>
      <c r="D145" s="471"/>
      <c r="E145" s="471"/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P145" s="471"/>
      <c r="Q145" s="471"/>
      <c r="R145" s="125">
        <v>710</v>
      </c>
      <c r="S145" s="127"/>
      <c r="T145" s="48" t="s">
        <v>51</v>
      </c>
    </row>
    <row r="146" spans="2:20" x14ac:dyDescent="0.25">
      <c r="B146" s="49">
        <v>95</v>
      </c>
      <c r="C146" s="471" t="s">
        <v>185</v>
      </c>
      <c r="D146" s="471"/>
      <c r="E146" s="471"/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P146" s="471"/>
      <c r="Q146" s="471"/>
      <c r="R146" s="125">
        <v>602</v>
      </c>
      <c r="S146" s="134">
        <f>+S138+S139+S140+S141+S142+S143-S144-S145</f>
        <v>0</v>
      </c>
      <c r="T146" s="48" t="s">
        <v>65</v>
      </c>
    </row>
    <row r="147" spans="2:20" ht="36.75" customHeight="1" x14ac:dyDescent="0.25">
      <c r="B147" s="503"/>
      <c r="C147" s="504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 t="s">
        <v>186</v>
      </c>
      <c r="N147" s="504"/>
      <c r="O147" s="504"/>
      <c r="P147" s="504"/>
      <c r="Q147" s="504"/>
      <c r="R147" s="504" t="s">
        <v>187</v>
      </c>
      <c r="S147" s="504"/>
      <c r="T147" s="505"/>
    </row>
    <row r="148" spans="2:20" x14ac:dyDescent="0.25">
      <c r="B148" s="49">
        <v>96</v>
      </c>
      <c r="C148" s="471" t="s">
        <v>178</v>
      </c>
      <c r="D148" s="471"/>
      <c r="E148" s="471"/>
      <c r="F148" s="471"/>
      <c r="G148" s="471"/>
      <c r="H148" s="471"/>
      <c r="I148" s="471"/>
      <c r="J148" s="471"/>
      <c r="K148" s="471"/>
      <c r="L148" s="471"/>
      <c r="M148" s="125">
        <v>575</v>
      </c>
      <c r="N148" s="506"/>
      <c r="O148" s="506"/>
      <c r="P148" s="506"/>
      <c r="Q148" s="140" t="s">
        <v>44</v>
      </c>
      <c r="R148" s="125">
        <v>576</v>
      </c>
      <c r="S148" s="127"/>
      <c r="T148" s="48" t="s">
        <v>44</v>
      </c>
    </row>
    <row r="149" spans="2:20" x14ac:dyDescent="0.25">
      <c r="B149" s="49">
        <v>97</v>
      </c>
      <c r="C149" s="471" t="s">
        <v>179</v>
      </c>
      <c r="D149" s="471"/>
      <c r="E149" s="471"/>
      <c r="F149" s="471"/>
      <c r="G149" s="471"/>
      <c r="H149" s="471"/>
      <c r="I149" s="471"/>
      <c r="J149" s="471"/>
      <c r="K149" s="471"/>
      <c r="L149" s="471"/>
      <c r="M149" s="125">
        <v>574</v>
      </c>
      <c r="N149" s="506"/>
      <c r="O149" s="506"/>
      <c r="P149" s="506"/>
      <c r="Q149" s="140" t="s">
        <v>44</v>
      </c>
      <c r="R149" s="125">
        <v>33</v>
      </c>
      <c r="S149" s="127"/>
      <c r="T149" s="48" t="s">
        <v>44</v>
      </c>
    </row>
    <row r="150" spans="2:20" x14ac:dyDescent="0.25">
      <c r="B150" s="49">
        <v>98</v>
      </c>
      <c r="C150" s="471" t="s">
        <v>180</v>
      </c>
      <c r="D150" s="471"/>
      <c r="E150" s="471"/>
      <c r="F150" s="471"/>
      <c r="G150" s="471"/>
      <c r="H150" s="471"/>
      <c r="I150" s="471"/>
      <c r="J150" s="471"/>
      <c r="K150" s="471"/>
      <c r="L150" s="471"/>
      <c r="M150" s="125">
        <v>580</v>
      </c>
      <c r="N150" s="506"/>
      <c r="O150" s="506"/>
      <c r="P150" s="506"/>
      <c r="Q150" s="140" t="s">
        <v>44</v>
      </c>
      <c r="R150" s="125">
        <v>149</v>
      </c>
      <c r="S150" s="127"/>
      <c r="T150" s="48" t="s">
        <v>44</v>
      </c>
    </row>
    <row r="151" spans="2:20" x14ac:dyDescent="0.25">
      <c r="B151" s="49">
        <v>99</v>
      </c>
      <c r="C151" s="471" t="s">
        <v>181</v>
      </c>
      <c r="D151" s="471"/>
      <c r="E151" s="471"/>
      <c r="F151" s="471"/>
      <c r="G151" s="471"/>
      <c r="H151" s="471"/>
      <c r="I151" s="471"/>
      <c r="J151" s="471"/>
      <c r="K151" s="471"/>
      <c r="L151" s="471"/>
      <c r="M151" s="125">
        <v>582</v>
      </c>
      <c r="N151" s="506"/>
      <c r="O151" s="506"/>
      <c r="P151" s="506"/>
      <c r="Q151" s="140" t="s">
        <v>44</v>
      </c>
      <c r="R151" s="125">
        <v>85</v>
      </c>
      <c r="S151" s="127"/>
      <c r="T151" s="48" t="s">
        <v>44</v>
      </c>
    </row>
    <row r="152" spans="2:20" x14ac:dyDescent="0.25">
      <c r="B152" s="49">
        <v>100</v>
      </c>
      <c r="C152" s="471" t="s">
        <v>182</v>
      </c>
      <c r="D152" s="471"/>
      <c r="E152" s="471"/>
      <c r="F152" s="471"/>
      <c r="G152" s="471"/>
      <c r="H152" s="471"/>
      <c r="I152" s="471"/>
      <c r="J152" s="471"/>
      <c r="K152" s="471"/>
      <c r="L152" s="471"/>
      <c r="M152" s="125">
        <v>753</v>
      </c>
      <c r="N152" s="506"/>
      <c r="O152" s="506"/>
      <c r="P152" s="506"/>
      <c r="Q152" s="140" t="s">
        <v>44</v>
      </c>
      <c r="R152" s="125">
        <v>754</v>
      </c>
      <c r="S152" s="127"/>
      <c r="T152" s="48" t="s">
        <v>44</v>
      </c>
    </row>
    <row r="153" spans="2:20" x14ac:dyDescent="0.25">
      <c r="B153" s="49">
        <v>101</v>
      </c>
      <c r="C153" s="471" t="s">
        <v>188</v>
      </c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125">
        <v>551</v>
      </c>
      <c r="S153" s="127"/>
      <c r="T153" s="48" t="s">
        <v>44</v>
      </c>
    </row>
    <row r="154" spans="2:20" x14ac:dyDescent="0.25">
      <c r="B154" s="49">
        <v>102</v>
      </c>
      <c r="C154" s="471" t="s">
        <v>189</v>
      </c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P154" s="471"/>
      <c r="Q154" s="471"/>
      <c r="R154" s="125">
        <v>559</v>
      </c>
      <c r="S154" s="127"/>
      <c r="T154" s="48" t="s">
        <v>51</v>
      </c>
    </row>
    <row r="155" spans="2:20" x14ac:dyDescent="0.25">
      <c r="B155" s="49">
        <v>103</v>
      </c>
      <c r="C155" s="471" t="s">
        <v>190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125">
        <v>508</v>
      </c>
      <c r="S155" s="127"/>
      <c r="T155" s="48" t="s">
        <v>44</v>
      </c>
    </row>
    <row r="156" spans="2:20" x14ac:dyDescent="0.25">
      <c r="B156" s="49">
        <v>104</v>
      </c>
      <c r="C156" s="471" t="s">
        <v>191</v>
      </c>
      <c r="D156" s="471"/>
      <c r="E156" s="471"/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P156" s="471"/>
      <c r="Q156" s="471"/>
      <c r="R156" s="125">
        <v>533</v>
      </c>
      <c r="S156" s="127"/>
      <c r="T156" s="48" t="s">
        <v>51</v>
      </c>
    </row>
    <row r="157" spans="2:20" x14ac:dyDescent="0.25">
      <c r="B157" s="49">
        <v>105</v>
      </c>
      <c r="C157" s="471" t="s">
        <v>192</v>
      </c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P157" s="471"/>
      <c r="Q157" s="471"/>
      <c r="R157" s="125">
        <v>552</v>
      </c>
      <c r="S157" s="127"/>
      <c r="T157" s="48" t="s">
        <v>44</v>
      </c>
    </row>
    <row r="158" spans="2:20" ht="15.75" thickBot="1" x14ac:dyDescent="0.3">
      <c r="B158" s="49">
        <v>106</v>
      </c>
      <c r="C158" s="470" t="s">
        <v>193</v>
      </c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52">
        <v>603</v>
      </c>
      <c r="S158" s="27">
        <f>+S148+S149+S150+S151+S152+S153-S154+S155-S156+S157</f>
        <v>0</v>
      </c>
      <c r="T158" s="11" t="s">
        <v>65</v>
      </c>
    </row>
    <row r="159" spans="2:20" ht="15.75" thickBot="1" x14ac:dyDescent="0.3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2:20" ht="15.75" thickBot="1" x14ac:dyDescent="0.3">
      <c r="B160" s="22">
        <v>107</v>
      </c>
      <c r="C160" s="483" t="s">
        <v>194</v>
      </c>
      <c r="D160" s="483"/>
      <c r="E160" s="483"/>
      <c r="F160" s="483"/>
      <c r="G160" s="483"/>
      <c r="H160" s="483"/>
      <c r="I160" s="23">
        <v>507</v>
      </c>
      <c r="J160" s="502">
        <f>IF(S146-S158&lt;0,S158-S146,0)</f>
        <v>0</v>
      </c>
      <c r="K160" s="502"/>
      <c r="L160" s="502"/>
      <c r="M160" s="502"/>
      <c r="N160" s="483" t="s">
        <v>195</v>
      </c>
      <c r="O160" s="483"/>
      <c r="P160" s="483"/>
      <c r="Q160" s="483"/>
      <c r="R160" s="23">
        <v>506</v>
      </c>
      <c r="S160" s="28">
        <f>IF(S146-S158&gt;0,S146-S158,0)</f>
        <v>0</v>
      </c>
      <c r="T160" s="25" t="s">
        <v>44</v>
      </c>
    </row>
    <row r="161" spans="2:20" ht="15.75" thickBot="1" x14ac:dyDescent="0.3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2:20" x14ac:dyDescent="0.25">
      <c r="B162" s="484" t="s">
        <v>196</v>
      </c>
      <c r="C162" s="485"/>
      <c r="D162" s="485"/>
      <c r="E162" s="485"/>
      <c r="F162" s="485"/>
      <c r="G162" s="485"/>
      <c r="H162" s="485"/>
      <c r="I162" s="485"/>
      <c r="J162" s="485"/>
      <c r="K162" s="485"/>
      <c r="L162" s="485"/>
      <c r="M162" s="485"/>
      <c r="N162" s="485"/>
      <c r="O162" s="485"/>
      <c r="P162" s="485"/>
      <c r="Q162" s="485"/>
      <c r="R162" s="485"/>
      <c r="S162" s="485"/>
      <c r="T162" s="46"/>
    </row>
    <row r="163" spans="2:20" x14ac:dyDescent="0.25">
      <c r="B163" s="503" t="s">
        <v>197</v>
      </c>
      <c r="C163" s="504"/>
      <c r="D163" s="504"/>
      <c r="E163" s="504"/>
      <c r="F163" s="504"/>
      <c r="G163" s="504"/>
      <c r="H163" s="504"/>
      <c r="I163" s="504"/>
      <c r="J163" s="504"/>
      <c r="K163" s="504"/>
      <c r="L163" s="504"/>
      <c r="M163" s="504"/>
      <c r="N163" s="504"/>
      <c r="O163" s="504"/>
      <c r="P163" s="504"/>
      <c r="Q163" s="504"/>
      <c r="R163" s="504"/>
      <c r="S163" s="504"/>
      <c r="T163" s="505"/>
    </row>
    <row r="164" spans="2:20" x14ac:dyDescent="0.25">
      <c r="B164" s="49">
        <v>108</v>
      </c>
      <c r="C164" s="471" t="s">
        <v>198</v>
      </c>
      <c r="D164" s="471"/>
      <c r="E164" s="471"/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P164" s="471"/>
      <c r="Q164" s="471"/>
      <c r="R164" s="125">
        <v>556</v>
      </c>
      <c r="S164" s="127"/>
      <c r="T164" s="48" t="s">
        <v>44</v>
      </c>
    </row>
    <row r="165" spans="2:20" x14ac:dyDescent="0.25">
      <c r="B165" s="49">
        <v>109</v>
      </c>
      <c r="C165" s="471" t="s">
        <v>199</v>
      </c>
      <c r="D165" s="471"/>
      <c r="E165" s="471"/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P165" s="471"/>
      <c r="Q165" s="471"/>
      <c r="R165" s="125">
        <v>557</v>
      </c>
      <c r="S165" s="127"/>
      <c r="T165" s="48" t="s">
        <v>44</v>
      </c>
    </row>
    <row r="166" spans="2:20" x14ac:dyDescent="0.25">
      <c r="B166" s="49">
        <v>110</v>
      </c>
      <c r="C166" s="471" t="s">
        <v>200</v>
      </c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P166" s="471"/>
      <c r="Q166" s="471"/>
      <c r="R166" s="125">
        <v>558</v>
      </c>
      <c r="S166" s="127"/>
      <c r="T166" s="48" t="s">
        <v>51</v>
      </c>
    </row>
    <row r="167" spans="2:20" x14ac:dyDescent="0.25">
      <c r="B167" s="49">
        <v>111</v>
      </c>
      <c r="C167" s="471" t="s">
        <v>201</v>
      </c>
      <c r="D167" s="471"/>
      <c r="E167" s="471"/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P167" s="471"/>
      <c r="Q167" s="471"/>
      <c r="R167" s="125">
        <v>543</v>
      </c>
      <c r="S167" s="134">
        <f>+S164+S165-S166</f>
        <v>0</v>
      </c>
      <c r="T167" s="48" t="s">
        <v>65</v>
      </c>
    </row>
    <row r="168" spans="2:20" ht="15.75" thickBot="1" x14ac:dyDescent="0.3">
      <c r="B168" s="14">
        <v>112</v>
      </c>
      <c r="C168" s="472" t="s">
        <v>202</v>
      </c>
      <c r="D168" s="472"/>
      <c r="E168" s="472"/>
      <c r="F168" s="472"/>
      <c r="G168" s="472"/>
      <c r="H168" s="472"/>
      <c r="I168" s="15">
        <v>573</v>
      </c>
      <c r="J168" s="584">
        <f>IF(S80&lt;S167,S167-S168,0)</f>
        <v>0</v>
      </c>
      <c r="K168" s="584"/>
      <c r="L168" s="584"/>
      <c r="M168" s="584"/>
      <c r="N168" s="472" t="s">
        <v>203</v>
      </c>
      <c r="O168" s="472"/>
      <c r="P168" s="472"/>
      <c r="Q168" s="472"/>
      <c r="R168" s="15">
        <v>598</v>
      </c>
      <c r="S168" s="53">
        <f>IF(S167&gt;S80,S80,S167)</f>
        <v>0</v>
      </c>
      <c r="T168" s="48" t="s">
        <v>51</v>
      </c>
    </row>
    <row r="169" spans="2:20" ht="15.75" thickBot="1" x14ac:dyDescent="0.3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2:20" x14ac:dyDescent="0.25">
      <c r="B170" s="484" t="s">
        <v>204</v>
      </c>
      <c r="C170" s="485"/>
      <c r="D170" s="485"/>
      <c r="E170" s="485"/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P170" s="485"/>
      <c r="Q170" s="485"/>
      <c r="R170" s="485"/>
      <c r="S170" s="485"/>
      <c r="T170" s="498"/>
    </row>
    <row r="171" spans="2:20" x14ac:dyDescent="0.25">
      <c r="B171" s="49">
        <v>113</v>
      </c>
      <c r="C171" s="471" t="s">
        <v>205</v>
      </c>
      <c r="D171" s="471"/>
      <c r="E171" s="471"/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P171" s="471"/>
      <c r="Q171" s="471"/>
      <c r="R171" s="125">
        <v>39</v>
      </c>
      <c r="S171" s="141"/>
      <c r="T171" s="140" t="s">
        <v>44</v>
      </c>
    </row>
    <row r="172" spans="2:20" x14ac:dyDescent="0.25">
      <c r="B172" s="49">
        <v>114</v>
      </c>
      <c r="C172" s="471" t="s">
        <v>206</v>
      </c>
      <c r="D172" s="471"/>
      <c r="E172" s="471"/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P172" s="471"/>
      <c r="Q172" s="471"/>
      <c r="R172" s="125">
        <v>554</v>
      </c>
      <c r="S172" s="141"/>
      <c r="T172" s="140" t="s">
        <v>44</v>
      </c>
    </row>
    <row r="173" spans="2:20" x14ac:dyDescent="0.25">
      <c r="B173" s="49">
        <v>115</v>
      </c>
      <c r="C173" s="471" t="s">
        <v>207</v>
      </c>
      <c r="D173" s="471"/>
      <c r="E173" s="471"/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P173" s="471"/>
      <c r="Q173" s="471"/>
      <c r="R173" s="125">
        <v>736</v>
      </c>
      <c r="S173" s="141"/>
      <c r="T173" s="140" t="s">
        <v>51</v>
      </c>
    </row>
    <row r="174" spans="2:20" x14ac:dyDescent="0.25">
      <c r="B174" s="49">
        <v>116</v>
      </c>
      <c r="C174" s="471" t="s">
        <v>208</v>
      </c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P174" s="471"/>
      <c r="Q174" s="471"/>
      <c r="R174" s="125">
        <v>597</v>
      </c>
      <c r="S174" s="141"/>
      <c r="T174" s="140" t="s">
        <v>44</v>
      </c>
    </row>
    <row r="175" spans="2:20" ht="15.75" thickBot="1" x14ac:dyDescent="0.3">
      <c r="B175" s="10">
        <v>117</v>
      </c>
      <c r="C175" s="470" t="s">
        <v>209</v>
      </c>
      <c r="D175" s="470"/>
      <c r="E175" s="470"/>
      <c r="F175" s="470"/>
      <c r="G175" s="470"/>
      <c r="H175" s="470"/>
      <c r="I175" s="52">
        <v>555</v>
      </c>
      <c r="J175" s="499"/>
      <c r="K175" s="499"/>
      <c r="L175" s="499"/>
      <c r="M175" s="29" t="s">
        <v>44</v>
      </c>
      <c r="N175" s="500" t="s">
        <v>210</v>
      </c>
      <c r="O175" s="500"/>
      <c r="P175" s="500"/>
      <c r="Q175" s="500"/>
      <c r="R175" s="52">
        <v>596</v>
      </c>
      <c r="S175" s="12">
        <f>+S171+S172-S173+S174+J175</f>
        <v>0</v>
      </c>
      <c r="T175" s="11" t="s">
        <v>44</v>
      </c>
    </row>
    <row r="176" spans="2:20" ht="15.75" thickBot="1" x14ac:dyDescent="0.3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2:20" x14ac:dyDescent="0.25">
      <c r="B177" s="484" t="s">
        <v>211</v>
      </c>
      <c r="C177" s="485"/>
      <c r="D177" s="485"/>
      <c r="E177" s="485"/>
      <c r="F177" s="485"/>
      <c r="G177" s="485"/>
      <c r="H177" s="485"/>
      <c r="I177" s="485"/>
      <c r="J177" s="485"/>
      <c r="K177" s="485"/>
      <c r="L177" s="485"/>
      <c r="M177" s="485"/>
      <c r="N177" s="485"/>
      <c r="O177" s="485"/>
      <c r="P177" s="485"/>
      <c r="Q177" s="485"/>
      <c r="R177" s="485"/>
      <c r="S177" s="485"/>
      <c r="T177" s="46"/>
    </row>
    <row r="178" spans="2:20" x14ac:dyDescent="0.25">
      <c r="B178" s="49">
        <v>118</v>
      </c>
      <c r="C178" s="471" t="s">
        <v>212</v>
      </c>
      <c r="D178" s="471"/>
      <c r="E178" s="471"/>
      <c r="F178" s="471"/>
      <c r="G178" s="125">
        <v>725</v>
      </c>
      <c r="H178" s="129"/>
      <c r="I178" s="471" t="s">
        <v>213</v>
      </c>
      <c r="J178" s="471"/>
      <c r="K178" s="471"/>
      <c r="L178" s="125">
        <v>737</v>
      </c>
      <c r="M178" s="495"/>
      <c r="N178" s="496"/>
      <c r="O178" s="497"/>
      <c r="P178" s="471" t="s">
        <v>214</v>
      </c>
      <c r="Q178" s="471"/>
      <c r="R178" s="125">
        <v>727</v>
      </c>
      <c r="S178" s="134">
        <f>+H178+M178</f>
        <v>0</v>
      </c>
      <c r="T178" s="48" t="s">
        <v>51</v>
      </c>
    </row>
    <row r="179" spans="2:20" x14ac:dyDescent="0.25">
      <c r="B179" s="49">
        <v>119</v>
      </c>
      <c r="C179" s="471" t="s">
        <v>215</v>
      </c>
      <c r="D179" s="471"/>
      <c r="E179" s="471"/>
      <c r="F179" s="471"/>
      <c r="G179" s="125">
        <v>704</v>
      </c>
      <c r="H179" s="129"/>
      <c r="I179" s="471" t="s">
        <v>213</v>
      </c>
      <c r="J179" s="471"/>
      <c r="K179" s="471"/>
      <c r="L179" s="125">
        <v>705</v>
      </c>
      <c r="M179" s="495"/>
      <c r="N179" s="496"/>
      <c r="O179" s="497"/>
      <c r="P179" s="471" t="s">
        <v>214</v>
      </c>
      <c r="Q179" s="471"/>
      <c r="R179" s="125">
        <v>706</v>
      </c>
      <c r="S179" s="134">
        <f t="shared" ref="S179:S183" si="0">+H179+M179</f>
        <v>0</v>
      </c>
      <c r="T179" s="48" t="s">
        <v>51</v>
      </c>
    </row>
    <row r="180" spans="2:20" x14ac:dyDescent="0.25">
      <c r="B180" s="49">
        <v>120</v>
      </c>
      <c r="C180" s="471" t="s">
        <v>216</v>
      </c>
      <c r="D180" s="471"/>
      <c r="E180" s="471"/>
      <c r="F180" s="471"/>
      <c r="G180" s="125">
        <v>160</v>
      </c>
      <c r="H180" s="129"/>
      <c r="I180" s="471" t="s">
        <v>213</v>
      </c>
      <c r="J180" s="471"/>
      <c r="K180" s="471"/>
      <c r="L180" s="125">
        <v>161</v>
      </c>
      <c r="M180" s="495"/>
      <c r="N180" s="496"/>
      <c r="O180" s="497"/>
      <c r="P180" s="471" t="s">
        <v>214</v>
      </c>
      <c r="Q180" s="471"/>
      <c r="R180" s="125">
        <v>570</v>
      </c>
      <c r="S180" s="134">
        <f t="shared" si="0"/>
        <v>0</v>
      </c>
      <c r="T180" s="48" t="s">
        <v>51</v>
      </c>
    </row>
    <row r="181" spans="2:20" x14ac:dyDescent="0.25">
      <c r="B181" s="49">
        <v>121</v>
      </c>
      <c r="C181" s="471" t="s">
        <v>217</v>
      </c>
      <c r="D181" s="471"/>
      <c r="E181" s="471"/>
      <c r="F181" s="471"/>
      <c r="G181" s="125">
        <v>126</v>
      </c>
      <c r="H181" s="129"/>
      <c r="I181" s="471" t="s">
        <v>213</v>
      </c>
      <c r="J181" s="471"/>
      <c r="K181" s="471"/>
      <c r="L181" s="125">
        <v>128</v>
      </c>
      <c r="M181" s="495"/>
      <c r="N181" s="496"/>
      <c r="O181" s="497"/>
      <c r="P181" s="471" t="s">
        <v>214</v>
      </c>
      <c r="Q181" s="471"/>
      <c r="R181" s="125">
        <v>571</v>
      </c>
      <c r="S181" s="134">
        <f t="shared" si="0"/>
        <v>0</v>
      </c>
      <c r="T181" s="48" t="s">
        <v>51</v>
      </c>
    </row>
    <row r="182" spans="2:20" x14ac:dyDescent="0.25">
      <c r="B182" s="49">
        <v>122</v>
      </c>
      <c r="C182" s="471" t="s">
        <v>218</v>
      </c>
      <c r="D182" s="471"/>
      <c r="E182" s="471"/>
      <c r="F182" s="471"/>
      <c r="G182" s="125">
        <v>572</v>
      </c>
      <c r="H182" s="129"/>
      <c r="I182" s="471" t="s">
        <v>213</v>
      </c>
      <c r="J182" s="471"/>
      <c r="K182" s="471"/>
      <c r="L182" s="125">
        <v>568</v>
      </c>
      <c r="M182" s="489"/>
      <c r="N182" s="490"/>
      <c r="O182" s="491"/>
      <c r="P182" s="471" t="s">
        <v>214</v>
      </c>
      <c r="Q182" s="471"/>
      <c r="R182" s="125">
        <v>590</v>
      </c>
      <c r="S182" s="134">
        <f t="shared" si="0"/>
        <v>0</v>
      </c>
      <c r="T182" s="48" t="s">
        <v>51</v>
      </c>
    </row>
    <row r="183" spans="2:20" ht="15.75" thickBot="1" x14ac:dyDescent="0.3">
      <c r="B183" s="51">
        <v>123</v>
      </c>
      <c r="C183" s="472" t="s">
        <v>219</v>
      </c>
      <c r="D183" s="472"/>
      <c r="E183" s="472"/>
      <c r="F183" s="472"/>
      <c r="G183" s="15">
        <v>768</v>
      </c>
      <c r="H183" s="30"/>
      <c r="I183" s="472" t="s">
        <v>213</v>
      </c>
      <c r="J183" s="472"/>
      <c r="K183" s="472"/>
      <c r="L183" s="15">
        <v>769</v>
      </c>
      <c r="M183" s="492"/>
      <c r="N183" s="493"/>
      <c r="O183" s="494"/>
      <c r="P183" s="472" t="s">
        <v>214</v>
      </c>
      <c r="Q183" s="472"/>
      <c r="R183" s="15">
        <v>770</v>
      </c>
      <c r="S183" s="134">
        <f t="shared" si="0"/>
        <v>0</v>
      </c>
      <c r="T183" s="17" t="s">
        <v>51</v>
      </c>
    </row>
    <row r="184" spans="2:20" x14ac:dyDescent="0.25">
      <c r="B184" s="3"/>
      <c r="C184" s="31"/>
      <c r="D184" s="31"/>
      <c r="E184" s="31"/>
      <c r="F184" s="31"/>
      <c r="G184" s="3"/>
      <c r="H184" s="32"/>
      <c r="I184" s="31"/>
      <c r="J184" s="31"/>
      <c r="K184" s="31"/>
      <c r="L184" s="3"/>
      <c r="M184" s="32"/>
      <c r="N184" s="32"/>
      <c r="O184" s="32"/>
      <c r="P184" s="31"/>
      <c r="Q184" s="31"/>
      <c r="R184" s="3"/>
      <c r="S184" s="33">
        <f>+S124+S134+S160+S168+S175-S178-S179-S180-S181-S183</f>
        <v>0</v>
      </c>
      <c r="T184" s="3"/>
    </row>
    <row r="185" spans="2:20" ht="15.75" thickBot="1" x14ac:dyDescent="0.3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33">
        <f>+S118+S184</f>
        <v>0</v>
      </c>
      <c r="T185" s="9"/>
    </row>
    <row r="186" spans="2:20" ht="15.75" thickBot="1" x14ac:dyDescent="0.3">
      <c r="B186" s="22">
        <v>124</v>
      </c>
      <c r="C186" s="483" t="s">
        <v>220</v>
      </c>
      <c r="D186" s="483"/>
      <c r="E186" s="483"/>
      <c r="F186" s="483"/>
      <c r="G186" s="483"/>
      <c r="H186" s="483"/>
      <c r="I186" s="483"/>
      <c r="J186" s="483"/>
      <c r="K186" s="483"/>
      <c r="L186" s="483"/>
      <c r="M186" s="483"/>
      <c r="N186" s="483"/>
      <c r="O186" s="483"/>
      <c r="P186" s="483"/>
      <c r="Q186" s="483"/>
      <c r="R186" s="23">
        <v>547</v>
      </c>
      <c r="S186" s="34">
        <f>IF(S184=0,0,IF(S185&gt;0,S185,-(S185)))</f>
        <v>0</v>
      </c>
      <c r="T186" s="25" t="s">
        <v>65</v>
      </c>
    </row>
    <row r="187" spans="2:20" ht="15.75" thickBot="1" x14ac:dyDescent="0.3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2:20" x14ac:dyDescent="0.25">
      <c r="B188" s="484" t="s">
        <v>221</v>
      </c>
      <c r="C188" s="485"/>
      <c r="D188" s="485"/>
      <c r="E188" s="485"/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P188" s="485"/>
      <c r="Q188" s="485"/>
      <c r="R188" s="485"/>
      <c r="S188" s="485"/>
      <c r="T188" s="46"/>
    </row>
    <row r="189" spans="2:20" x14ac:dyDescent="0.25">
      <c r="B189" s="49">
        <v>125</v>
      </c>
      <c r="C189" s="471" t="s">
        <v>222</v>
      </c>
      <c r="D189" s="471"/>
      <c r="E189" s="471"/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P189" s="471"/>
      <c r="Q189" s="471"/>
      <c r="R189" s="125">
        <v>728</v>
      </c>
      <c r="S189" s="127"/>
      <c r="T189" s="48"/>
    </row>
    <row r="190" spans="2:20" x14ac:dyDescent="0.25">
      <c r="B190" s="49">
        <v>126</v>
      </c>
      <c r="C190" s="471" t="s">
        <v>223</v>
      </c>
      <c r="D190" s="471"/>
      <c r="E190" s="471"/>
      <c r="F190" s="471"/>
      <c r="G190" s="471"/>
      <c r="H190" s="471"/>
      <c r="I190" s="471"/>
      <c r="J190" s="471"/>
      <c r="K190" s="471"/>
      <c r="L190" s="471"/>
      <c r="M190" s="471"/>
      <c r="N190" s="471"/>
      <c r="O190" s="471"/>
      <c r="P190" s="471"/>
      <c r="Q190" s="471"/>
      <c r="R190" s="125">
        <v>707</v>
      </c>
      <c r="S190" s="127"/>
      <c r="T190" s="48"/>
    </row>
    <row r="191" spans="2:20" x14ac:dyDescent="0.25">
      <c r="B191" s="49">
        <v>127</v>
      </c>
      <c r="C191" s="471" t="s">
        <v>224</v>
      </c>
      <c r="D191" s="471"/>
      <c r="E191" s="471"/>
      <c r="F191" s="471"/>
      <c r="G191" s="471"/>
      <c r="H191" s="471"/>
      <c r="I191" s="471"/>
      <c r="J191" s="471"/>
      <c r="K191" s="471"/>
      <c r="L191" s="471"/>
      <c r="M191" s="471"/>
      <c r="N191" s="471"/>
      <c r="O191" s="471"/>
      <c r="P191" s="471"/>
      <c r="Q191" s="471"/>
      <c r="R191" s="125">
        <v>73</v>
      </c>
      <c r="S191" s="127"/>
      <c r="T191" s="48"/>
    </row>
    <row r="192" spans="2:20" x14ac:dyDescent="0.25">
      <c r="B192" s="49">
        <v>128</v>
      </c>
      <c r="C192" s="471" t="s">
        <v>225</v>
      </c>
      <c r="D192" s="471"/>
      <c r="E192" s="471"/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P192" s="471"/>
      <c r="Q192" s="471"/>
      <c r="R192" s="125">
        <v>130</v>
      </c>
      <c r="S192" s="127"/>
      <c r="T192" s="48"/>
    </row>
    <row r="193" spans="2:20" x14ac:dyDescent="0.25">
      <c r="B193" s="49">
        <v>129</v>
      </c>
      <c r="C193" s="471" t="s">
        <v>226</v>
      </c>
      <c r="D193" s="471"/>
      <c r="E193" s="471"/>
      <c r="F193" s="471"/>
      <c r="G193" s="471"/>
      <c r="H193" s="471"/>
      <c r="I193" s="471"/>
      <c r="J193" s="471"/>
      <c r="K193" s="471"/>
      <c r="L193" s="471"/>
      <c r="M193" s="471"/>
      <c r="N193" s="471"/>
      <c r="O193" s="471"/>
      <c r="P193" s="471"/>
      <c r="Q193" s="471"/>
      <c r="R193" s="125">
        <v>591</v>
      </c>
      <c r="S193" s="127"/>
      <c r="T193" s="48"/>
    </row>
    <row r="194" spans="2:20" ht="15.75" thickBot="1" x14ac:dyDescent="0.3">
      <c r="B194" s="14">
        <v>130</v>
      </c>
      <c r="C194" s="472" t="s">
        <v>227</v>
      </c>
      <c r="D194" s="472"/>
      <c r="E194" s="472"/>
      <c r="F194" s="472"/>
      <c r="G194" s="472"/>
      <c r="H194" s="472"/>
      <c r="I194" s="472"/>
      <c r="J194" s="472"/>
      <c r="K194" s="472"/>
      <c r="L194" s="472"/>
      <c r="M194" s="472"/>
      <c r="N194" s="472"/>
      <c r="O194" s="472"/>
      <c r="P194" s="472"/>
      <c r="Q194" s="472"/>
      <c r="R194" s="15">
        <v>771</v>
      </c>
      <c r="S194" s="21"/>
      <c r="T194" s="17"/>
    </row>
    <row r="195" spans="2:20" ht="15.75" thickBot="1" x14ac:dyDescent="0.3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2:20" x14ac:dyDescent="0.25">
      <c r="B196" s="18">
        <v>131</v>
      </c>
      <c r="C196" s="473" t="s">
        <v>228</v>
      </c>
      <c r="D196" s="473"/>
      <c r="E196" s="473"/>
      <c r="F196" s="473"/>
      <c r="G196" s="473"/>
      <c r="H196" s="473"/>
      <c r="I196" s="473"/>
      <c r="J196" s="473"/>
      <c r="K196" s="473"/>
      <c r="L196" s="473"/>
      <c r="M196" s="473"/>
      <c r="N196" s="473"/>
      <c r="O196" s="473"/>
      <c r="P196" s="473"/>
      <c r="Q196" s="473"/>
      <c r="R196" s="8">
        <v>91</v>
      </c>
      <c r="S196" s="35">
        <f>IF(S186&lt;0,0,IF(S186=0,S118,S186))</f>
        <v>0</v>
      </c>
      <c r="T196" s="20" t="s">
        <v>65</v>
      </c>
    </row>
    <row r="197" spans="2:20" x14ac:dyDescent="0.25">
      <c r="B197" s="49">
        <v>132</v>
      </c>
      <c r="C197" s="471" t="s">
        <v>229</v>
      </c>
      <c r="D197" s="471"/>
      <c r="E197" s="471"/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125">
        <v>92</v>
      </c>
      <c r="S197" s="134">
        <f>+Multas!D17</f>
        <v>0</v>
      </c>
      <c r="T197" s="48" t="s">
        <v>44</v>
      </c>
    </row>
    <row r="198" spans="2:20" x14ac:dyDescent="0.25">
      <c r="B198" s="49">
        <v>133</v>
      </c>
      <c r="C198" s="471" t="s">
        <v>230</v>
      </c>
      <c r="D198" s="471"/>
      <c r="E198" s="471"/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P198" s="471"/>
      <c r="Q198" s="471"/>
      <c r="R198" s="125">
        <v>93</v>
      </c>
      <c r="S198" s="134"/>
      <c r="T198" s="48" t="s">
        <v>44</v>
      </c>
    </row>
    <row r="199" spans="2:20" x14ac:dyDescent="0.25">
      <c r="B199" s="474"/>
      <c r="C199" s="476" t="s">
        <v>231</v>
      </c>
      <c r="D199" s="478" t="s">
        <v>232</v>
      </c>
      <c r="E199" s="479"/>
      <c r="F199" s="125">
        <v>922</v>
      </c>
      <c r="G199" s="478"/>
      <c r="H199" s="479"/>
      <c r="I199" s="478" t="s">
        <v>233</v>
      </c>
      <c r="J199" s="479"/>
      <c r="K199" s="125">
        <v>915</v>
      </c>
      <c r="L199" s="142"/>
      <c r="M199" s="478" t="s">
        <v>234</v>
      </c>
      <c r="N199" s="479"/>
      <c r="O199" s="125">
        <v>60</v>
      </c>
      <c r="P199" s="478"/>
      <c r="Q199" s="479"/>
      <c r="R199" s="486"/>
      <c r="S199" s="487"/>
      <c r="T199" s="488"/>
    </row>
    <row r="200" spans="2:20" x14ac:dyDescent="0.25">
      <c r="B200" s="475"/>
      <c r="C200" s="477"/>
      <c r="D200" s="480" t="s">
        <v>235</v>
      </c>
      <c r="E200" s="481"/>
      <c r="F200" s="481"/>
      <c r="G200" s="481"/>
      <c r="H200" s="481"/>
      <c r="I200" s="481"/>
      <c r="J200" s="481"/>
      <c r="K200" s="481"/>
      <c r="L200" s="481"/>
      <c r="M200" s="481"/>
      <c r="N200" s="481"/>
      <c r="O200" s="481"/>
      <c r="P200" s="481"/>
      <c r="Q200" s="482"/>
      <c r="R200" s="118">
        <v>795</v>
      </c>
      <c r="S200" s="134"/>
      <c r="T200" s="140" t="s">
        <v>51</v>
      </c>
    </row>
    <row r="201" spans="2:20" ht="15.75" thickBot="1" x14ac:dyDescent="0.3">
      <c r="B201" s="10">
        <v>134</v>
      </c>
      <c r="C201" s="470" t="s">
        <v>236</v>
      </c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52">
        <v>94</v>
      </c>
      <c r="S201" s="16">
        <f>IF(AND(S197=0,S198=0),0,S196+S197+S198-S200)</f>
        <v>0</v>
      </c>
      <c r="T201" s="17" t="s">
        <v>65</v>
      </c>
    </row>
    <row r="202" spans="2:20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x14ac:dyDescent="0.25">
      <c r="B203" s="3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</sheetData>
  <mergeCells count="341">
    <mergeCell ref="C3:E3"/>
    <mergeCell ref="I3:M3"/>
    <mergeCell ref="Q3:S3"/>
    <mergeCell ref="C4:C5"/>
    <mergeCell ref="I4:I5"/>
    <mergeCell ref="J4:M5"/>
    <mergeCell ref="Q4:Q5"/>
    <mergeCell ref="R4:S5"/>
    <mergeCell ref="B10:S10"/>
    <mergeCell ref="B11:S11"/>
    <mergeCell ref="B12:S12"/>
    <mergeCell ref="B13:L13"/>
    <mergeCell ref="M13:Q13"/>
    <mergeCell ref="R13:T13"/>
    <mergeCell ref="C7:H7"/>
    <mergeCell ref="J7:N7"/>
    <mergeCell ref="P7:T7"/>
    <mergeCell ref="B8:H8"/>
    <mergeCell ref="I8:N8"/>
    <mergeCell ref="O8:T8"/>
    <mergeCell ref="C17:L17"/>
    <mergeCell ref="N17:Q17"/>
    <mergeCell ref="C18:L18"/>
    <mergeCell ref="N18:Q18"/>
    <mergeCell ref="C19:Q19"/>
    <mergeCell ref="B20:L20"/>
    <mergeCell ref="M20:Q20"/>
    <mergeCell ref="C14:L14"/>
    <mergeCell ref="N14:Q14"/>
    <mergeCell ref="C15:L15"/>
    <mergeCell ref="N15:Q15"/>
    <mergeCell ref="C16:L16"/>
    <mergeCell ref="N16:Q16"/>
    <mergeCell ref="C24:L24"/>
    <mergeCell ref="N24:Q24"/>
    <mergeCell ref="C25:L25"/>
    <mergeCell ref="N25:Q25"/>
    <mergeCell ref="C26:L26"/>
    <mergeCell ref="N26:Q26"/>
    <mergeCell ref="R20:S20"/>
    <mergeCell ref="C21:L21"/>
    <mergeCell ref="N21:Q21"/>
    <mergeCell ref="C22:L22"/>
    <mergeCell ref="N22:Q22"/>
    <mergeCell ref="C23:L23"/>
    <mergeCell ref="N23:Q23"/>
    <mergeCell ref="C30:L30"/>
    <mergeCell ref="N30:Q30"/>
    <mergeCell ref="C31:L31"/>
    <mergeCell ref="N31:Q31"/>
    <mergeCell ref="C32:Q32"/>
    <mergeCell ref="C33:Q33"/>
    <mergeCell ref="C27:L27"/>
    <mergeCell ref="N27:Q27"/>
    <mergeCell ref="C28:L28"/>
    <mergeCell ref="N28:Q28"/>
    <mergeCell ref="C29:L29"/>
    <mergeCell ref="N29:Q29"/>
    <mergeCell ref="B39:S39"/>
    <mergeCell ref="B40:S40"/>
    <mergeCell ref="B41:L41"/>
    <mergeCell ref="M41:Q41"/>
    <mergeCell ref="R41:T41"/>
    <mergeCell ref="C34:Q34"/>
    <mergeCell ref="C35:E35"/>
    <mergeCell ref="K35:M35"/>
    <mergeCell ref="P35:Q35"/>
    <mergeCell ref="C36:Q36"/>
    <mergeCell ref="C37:Q37"/>
    <mergeCell ref="C45:L45"/>
    <mergeCell ref="N45:Q45"/>
    <mergeCell ref="C46:L46"/>
    <mergeCell ref="N46:Q46"/>
    <mergeCell ref="C47:L47"/>
    <mergeCell ref="N47:Q47"/>
    <mergeCell ref="C42:L42"/>
    <mergeCell ref="N42:Q42"/>
    <mergeCell ref="B43:S43"/>
    <mergeCell ref="B44:L44"/>
    <mergeCell ref="M44:Q44"/>
    <mergeCell ref="R44:T44"/>
    <mergeCell ref="C52:L52"/>
    <mergeCell ref="N52:Q52"/>
    <mergeCell ref="C53:L53"/>
    <mergeCell ref="N53:Q53"/>
    <mergeCell ref="C54:L54"/>
    <mergeCell ref="N54:Q54"/>
    <mergeCell ref="B48:S48"/>
    <mergeCell ref="B49:S49"/>
    <mergeCell ref="B50:L50"/>
    <mergeCell ref="M50:Q50"/>
    <mergeCell ref="R50:T50"/>
    <mergeCell ref="C51:L51"/>
    <mergeCell ref="N51:Q51"/>
    <mergeCell ref="C59:L59"/>
    <mergeCell ref="N59:Q59"/>
    <mergeCell ref="C60:Q60"/>
    <mergeCell ref="C61:Q61"/>
    <mergeCell ref="C62:Q62"/>
    <mergeCell ref="C63:Q63"/>
    <mergeCell ref="C55:L55"/>
    <mergeCell ref="N55:Q55"/>
    <mergeCell ref="C56:L56"/>
    <mergeCell ref="N56:Q56"/>
    <mergeCell ref="B57:S57"/>
    <mergeCell ref="C58:L58"/>
    <mergeCell ref="N58:Q58"/>
    <mergeCell ref="C64:Q64"/>
    <mergeCell ref="C65:Q65"/>
    <mergeCell ref="C66:Q66"/>
    <mergeCell ref="C67:Q67"/>
    <mergeCell ref="B68:S68"/>
    <mergeCell ref="B69:I69"/>
    <mergeCell ref="J69:M69"/>
    <mergeCell ref="N69:Q69"/>
    <mergeCell ref="R69:T69"/>
    <mergeCell ref="S70:S71"/>
    <mergeCell ref="T70:T71"/>
    <mergeCell ref="P71:Q71"/>
    <mergeCell ref="B72:B73"/>
    <mergeCell ref="C72:I73"/>
    <mergeCell ref="J72:J73"/>
    <mergeCell ref="K72:M73"/>
    <mergeCell ref="P72:Q72"/>
    <mergeCell ref="R72:R73"/>
    <mergeCell ref="S72:S73"/>
    <mergeCell ref="B70:B71"/>
    <mergeCell ref="C70:I71"/>
    <mergeCell ref="J70:J71"/>
    <mergeCell ref="K70:M71"/>
    <mergeCell ref="P70:Q70"/>
    <mergeCell ref="R70:R71"/>
    <mergeCell ref="B79:Q79"/>
    <mergeCell ref="R79:T79"/>
    <mergeCell ref="C80:E80"/>
    <mergeCell ref="G80:H80"/>
    <mergeCell ref="J80:K80"/>
    <mergeCell ref="N80:O80"/>
    <mergeCell ref="P80:Q80"/>
    <mergeCell ref="T72:T73"/>
    <mergeCell ref="P73:Q73"/>
    <mergeCell ref="C74:Q74"/>
    <mergeCell ref="C75:Q75"/>
    <mergeCell ref="C76:Q76"/>
    <mergeCell ref="C77:Q77"/>
    <mergeCell ref="B83:Q83"/>
    <mergeCell ref="R83:T83"/>
    <mergeCell ref="C84:E84"/>
    <mergeCell ref="G84:H84"/>
    <mergeCell ref="J84:K84"/>
    <mergeCell ref="N84:O84"/>
    <mergeCell ref="P84:Q84"/>
    <mergeCell ref="B81:Q81"/>
    <mergeCell ref="R81:T81"/>
    <mergeCell ref="C82:E82"/>
    <mergeCell ref="G82:H82"/>
    <mergeCell ref="J82:K82"/>
    <mergeCell ref="N82:O82"/>
    <mergeCell ref="P82:Q82"/>
    <mergeCell ref="C87:E87"/>
    <mergeCell ref="G87:H87"/>
    <mergeCell ref="I87:Q87"/>
    <mergeCell ref="C88:E88"/>
    <mergeCell ref="G88:H88"/>
    <mergeCell ref="I88:Q88"/>
    <mergeCell ref="C85:E85"/>
    <mergeCell ref="G85:H85"/>
    <mergeCell ref="I85:Q85"/>
    <mergeCell ref="C86:E86"/>
    <mergeCell ref="G86:H86"/>
    <mergeCell ref="I86:Q86"/>
    <mergeCell ref="C90:Q90"/>
    <mergeCell ref="C91:Q91"/>
    <mergeCell ref="B93:S93"/>
    <mergeCell ref="B94:S94"/>
    <mergeCell ref="C95:Q95"/>
    <mergeCell ref="B96:B97"/>
    <mergeCell ref="C96:F97"/>
    <mergeCell ref="G96:H97"/>
    <mergeCell ref="I96:I97"/>
    <mergeCell ref="J96:L96"/>
    <mergeCell ref="J97:L97"/>
    <mergeCell ref="N97:O97"/>
    <mergeCell ref="C98:Q98"/>
    <mergeCell ref="C99:Q99"/>
    <mergeCell ref="C100:Q100"/>
    <mergeCell ref="C101:Q101"/>
    <mergeCell ref="M96:M97"/>
    <mergeCell ref="N96:O96"/>
    <mergeCell ref="P96:Q97"/>
    <mergeCell ref="R107:T107"/>
    <mergeCell ref="D108:E108"/>
    <mergeCell ref="J108:L108"/>
    <mergeCell ref="P108:Q108"/>
    <mergeCell ref="R96:R97"/>
    <mergeCell ref="S96:S97"/>
    <mergeCell ref="T96:T97"/>
    <mergeCell ref="C109:F109"/>
    <mergeCell ref="J109:L109"/>
    <mergeCell ref="P109:Q109"/>
    <mergeCell ref="C102:Q102"/>
    <mergeCell ref="C103:Q103"/>
    <mergeCell ref="C104:Q104"/>
    <mergeCell ref="C105:Q105"/>
    <mergeCell ref="B106:S106"/>
    <mergeCell ref="D107:F107"/>
    <mergeCell ref="G107:H107"/>
    <mergeCell ref="I107:L107"/>
    <mergeCell ref="M107:N107"/>
    <mergeCell ref="O107:Q107"/>
    <mergeCell ref="C110:F110"/>
    <mergeCell ref="J110:L110"/>
    <mergeCell ref="P110:Q110"/>
    <mergeCell ref="C111:Q111"/>
    <mergeCell ref="B112:B113"/>
    <mergeCell ref="C112:F113"/>
    <mergeCell ref="G112:H112"/>
    <mergeCell ref="I112:L112"/>
    <mergeCell ref="M112:O112"/>
    <mergeCell ref="P112:T112"/>
    <mergeCell ref="C118:Q118"/>
    <mergeCell ref="B120:S120"/>
    <mergeCell ref="B121:Q121"/>
    <mergeCell ref="R121:T121"/>
    <mergeCell ref="C122:Q122"/>
    <mergeCell ref="C123:Q123"/>
    <mergeCell ref="J113:L113"/>
    <mergeCell ref="N113:O113"/>
    <mergeCell ref="P113:Q113"/>
    <mergeCell ref="C114:Q114"/>
    <mergeCell ref="C115:Q115"/>
    <mergeCell ref="C116:Q116"/>
    <mergeCell ref="C131:Q131"/>
    <mergeCell ref="C132:Q132"/>
    <mergeCell ref="C133:Q133"/>
    <mergeCell ref="C134:H134"/>
    <mergeCell ref="J134:L134"/>
    <mergeCell ref="M134:Q134"/>
    <mergeCell ref="C124:Q124"/>
    <mergeCell ref="B126:S126"/>
    <mergeCell ref="C127:Q127"/>
    <mergeCell ref="C128:Q128"/>
    <mergeCell ref="C129:Q129"/>
    <mergeCell ref="C130:Q130"/>
    <mergeCell ref="C141:Q141"/>
    <mergeCell ref="C142:Q142"/>
    <mergeCell ref="C143:Q143"/>
    <mergeCell ref="C144:Q144"/>
    <mergeCell ref="C145:Q145"/>
    <mergeCell ref="C146:Q146"/>
    <mergeCell ref="B136:S136"/>
    <mergeCell ref="B137:Q137"/>
    <mergeCell ref="R137:T137"/>
    <mergeCell ref="C138:Q138"/>
    <mergeCell ref="C139:Q139"/>
    <mergeCell ref="C140:Q140"/>
    <mergeCell ref="C150:L150"/>
    <mergeCell ref="N150:P150"/>
    <mergeCell ref="C151:L151"/>
    <mergeCell ref="N151:P151"/>
    <mergeCell ref="C152:L152"/>
    <mergeCell ref="N152:P152"/>
    <mergeCell ref="B147:L147"/>
    <mergeCell ref="M147:Q147"/>
    <mergeCell ref="R147:T147"/>
    <mergeCell ref="C148:L148"/>
    <mergeCell ref="N148:P148"/>
    <mergeCell ref="C149:L149"/>
    <mergeCell ref="N149:P149"/>
    <mergeCell ref="C160:H160"/>
    <mergeCell ref="J160:M160"/>
    <mergeCell ref="N160:Q160"/>
    <mergeCell ref="B162:S162"/>
    <mergeCell ref="B163:T163"/>
    <mergeCell ref="C164:Q164"/>
    <mergeCell ref="C153:Q153"/>
    <mergeCell ref="C154:Q154"/>
    <mergeCell ref="C155:Q155"/>
    <mergeCell ref="C156:Q156"/>
    <mergeCell ref="C157:Q157"/>
    <mergeCell ref="C158:Q158"/>
    <mergeCell ref="B170:T170"/>
    <mergeCell ref="C171:Q171"/>
    <mergeCell ref="C172:Q172"/>
    <mergeCell ref="C173:Q173"/>
    <mergeCell ref="C174:Q174"/>
    <mergeCell ref="C175:H175"/>
    <mergeCell ref="J175:L175"/>
    <mergeCell ref="N175:Q175"/>
    <mergeCell ref="C165:Q165"/>
    <mergeCell ref="C166:Q166"/>
    <mergeCell ref="C167:Q167"/>
    <mergeCell ref="C168:H168"/>
    <mergeCell ref="J168:M168"/>
    <mergeCell ref="N168:Q168"/>
    <mergeCell ref="B177:S177"/>
    <mergeCell ref="C178:F178"/>
    <mergeCell ref="I178:K178"/>
    <mergeCell ref="M178:O178"/>
    <mergeCell ref="P178:Q178"/>
    <mergeCell ref="C179:F179"/>
    <mergeCell ref="I179:K179"/>
    <mergeCell ref="M179:O179"/>
    <mergeCell ref="P179:Q179"/>
    <mergeCell ref="C182:F182"/>
    <mergeCell ref="I182:K182"/>
    <mergeCell ref="M182:O182"/>
    <mergeCell ref="P182:Q182"/>
    <mergeCell ref="C183:F183"/>
    <mergeCell ref="I183:K183"/>
    <mergeCell ref="M183:O183"/>
    <mergeCell ref="P183:Q183"/>
    <mergeCell ref="C180:F180"/>
    <mergeCell ref="I180:K180"/>
    <mergeCell ref="M180:O180"/>
    <mergeCell ref="P180:Q180"/>
    <mergeCell ref="C181:F181"/>
    <mergeCell ref="I181:K181"/>
    <mergeCell ref="M181:O181"/>
    <mergeCell ref="P181:Q181"/>
    <mergeCell ref="C186:Q186"/>
    <mergeCell ref="B188:S188"/>
    <mergeCell ref="C189:Q189"/>
    <mergeCell ref="C190:Q190"/>
    <mergeCell ref="C191:Q191"/>
    <mergeCell ref="C192:Q192"/>
    <mergeCell ref="M199:N199"/>
    <mergeCell ref="P199:Q199"/>
    <mergeCell ref="R199:T199"/>
    <mergeCell ref="C201:Q201"/>
    <mergeCell ref="C193:Q193"/>
    <mergeCell ref="C194:Q194"/>
    <mergeCell ref="C196:Q196"/>
    <mergeCell ref="C197:Q197"/>
    <mergeCell ref="C198:Q198"/>
    <mergeCell ref="B199:B200"/>
    <mergeCell ref="C199:C200"/>
    <mergeCell ref="D199:E199"/>
    <mergeCell ref="G199:H199"/>
    <mergeCell ref="I199:J199"/>
    <mergeCell ref="D200:Q200"/>
  </mergeCells>
  <pageMargins left="0.7" right="0.7" top="0.75" bottom="0.75" header="0.3" footer="0.3"/>
  <pageSetup scale="4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0601-78A6-477E-95EA-9EAB885086A2}">
  <dimension ref="A8:Y33"/>
  <sheetViews>
    <sheetView showGridLines="0" zoomScale="90" zoomScaleNormal="90" workbookViewId="0">
      <selection activeCell="B15" sqref="B15"/>
    </sheetView>
  </sheetViews>
  <sheetFormatPr baseColWidth="10" defaultColWidth="11.28515625" defaultRowHeight="15" x14ac:dyDescent="0.25"/>
  <cols>
    <col min="1" max="1" width="12" style="1" bestFit="1" customWidth="1"/>
    <col min="2" max="2" width="15.7109375" style="1" bestFit="1" customWidth="1"/>
    <col min="3" max="3" width="16.5703125" style="211" bestFit="1" customWidth="1"/>
    <col min="4" max="4" width="13.5703125" style="211" bestFit="1" customWidth="1"/>
    <col min="5" max="7" width="11.28515625" style="211"/>
    <col min="8" max="8" width="11.28515625" style="207"/>
    <col min="9" max="9" width="11.28515625" style="211"/>
    <col min="10" max="10" width="25.140625" style="1" bestFit="1" customWidth="1"/>
    <col min="11" max="11" width="11.5703125" style="1" bestFit="1" customWidth="1"/>
    <col min="12" max="12" width="17.42578125" style="1" bestFit="1" customWidth="1"/>
    <col min="13" max="18" width="11.28515625" style="1"/>
    <col min="19" max="19" width="13.5703125" style="1" customWidth="1"/>
    <col min="20" max="20" width="14.7109375" style="1" customWidth="1"/>
    <col min="21" max="21" width="13.140625" style="1" customWidth="1"/>
    <col min="22" max="22" width="11.28515625" style="1"/>
    <col min="23" max="23" width="15" style="1" customWidth="1"/>
    <col min="24" max="16384" width="11.28515625" style="1"/>
  </cols>
  <sheetData>
    <row r="8" spans="1:25" ht="20.25" x14ac:dyDescent="0.3">
      <c r="A8" s="583" t="s">
        <v>501</v>
      </c>
      <c r="B8" s="583"/>
      <c r="C8" s="583"/>
      <c r="D8" s="583"/>
    </row>
    <row r="10" spans="1:25" ht="29.25" x14ac:dyDescent="0.25">
      <c r="A10" s="248"/>
      <c r="B10" s="249" t="s">
        <v>502</v>
      </c>
      <c r="C10" s="249" t="s">
        <v>503</v>
      </c>
      <c r="D10" s="250" t="s">
        <v>485</v>
      </c>
      <c r="H10" s="74" t="s">
        <v>303</v>
      </c>
      <c r="I10" s="74" t="s">
        <v>304</v>
      </c>
      <c r="J10" s="74" t="s">
        <v>354</v>
      </c>
      <c r="K10" s="74" t="s">
        <v>355</v>
      </c>
      <c r="L10" s="74" t="s">
        <v>307</v>
      </c>
      <c r="M10" s="74" t="s">
        <v>308</v>
      </c>
      <c r="N10" s="74" t="s">
        <v>309</v>
      </c>
      <c r="O10" s="74" t="s">
        <v>310</v>
      </c>
      <c r="P10" s="74" t="s">
        <v>356</v>
      </c>
      <c r="Q10" s="75" t="s">
        <v>241</v>
      </c>
      <c r="R10" s="75" t="s">
        <v>34</v>
      </c>
      <c r="S10" s="75" t="s">
        <v>357</v>
      </c>
      <c r="T10" s="75" t="s">
        <v>358</v>
      </c>
      <c r="U10" s="75" t="s">
        <v>359</v>
      </c>
      <c r="V10" s="75" t="s">
        <v>245</v>
      </c>
      <c r="W10" s="75" t="s">
        <v>360</v>
      </c>
      <c r="X10" s="74" t="s">
        <v>361</v>
      </c>
      <c r="Y10" s="74" t="s">
        <v>362</v>
      </c>
    </row>
    <row r="11" spans="1:25" x14ac:dyDescent="0.25">
      <c r="A11" s="258" t="s">
        <v>266</v>
      </c>
      <c r="B11" s="259"/>
      <c r="C11" s="259"/>
      <c r="D11" s="260">
        <f>B11+C11</f>
        <v>0</v>
      </c>
      <c r="H11" s="1">
        <v>1</v>
      </c>
      <c r="I11" s="1">
        <v>33</v>
      </c>
      <c r="J11" s="1" t="s">
        <v>247</v>
      </c>
      <c r="K11" s="1" t="s">
        <v>470</v>
      </c>
      <c r="L11" s="1" t="s">
        <v>471</v>
      </c>
      <c r="M11" s="1">
        <v>5000370</v>
      </c>
      <c r="N11" s="36">
        <v>45540</v>
      </c>
      <c r="O11" s="36">
        <v>45540.658009259256</v>
      </c>
      <c r="P11" s="37"/>
      <c r="Q11" s="38">
        <v>0</v>
      </c>
      <c r="R11" s="38">
        <v>13336</v>
      </c>
      <c r="S11" s="38">
        <v>2534</v>
      </c>
      <c r="T11" s="38"/>
      <c r="U11" s="38"/>
      <c r="V11" s="38">
        <f>SUM(Q11:U11)</f>
        <v>15870</v>
      </c>
      <c r="Y11" s="38"/>
    </row>
    <row r="12" spans="1:25" x14ac:dyDescent="0.25">
      <c r="A12" s="251" t="s">
        <v>267</v>
      </c>
      <c r="B12" s="247"/>
      <c r="C12" s="247"/>
      <c r="D12" s="113">
        <f t="shared" ref="D12:D22" si="0">B12+C12</f>
        <v>0</v>
      </c>
      <c r="H12" s="1">
        <v>2</v>
      </c>
      <c r="I12" s="1">
        <v>33</v>
      </c>
      <c r="J12" s="1" t="s">
        <v>504</v>
      </c>
      <c r="K12" s="1" t="s">
        <v>441</v>
      </c>
      <c r="L12" s="1" t="s">
        <v>442</v>
      </c>
      <c r="M12" s="1">
        <v>624</v>
      </c>
      <c r="N12" s="36">
        <v>45538</v>
      </c>
      <c r="O12" s="36">
        <v>45541.806458333333</v>
      </c>
      <c r="P12" s="37"/>
      <c r="Q12" s="38">
        <v>0</v>
      </c>
      <c r="R12" s="38">
        <v>18487</v>
      </c>
      <c r="S12" s="38"/>
      <c r="T12" s="38">
        <v>3513</v>
      </c>
      <c r="U12" s="38"/>
      <c r="V12" s="38">
        <f t="shared" ref="V12" si="1">SUM(Q12:U12)</f>
        <v>22000</v>
      </c>
    </row>
    <row r="13" spans="1:25" x14ac:dyDescent="0.25">
      <c r="A13" s="251" t="s">
        <v>268</v>
      </c>
      <c r="B13" s="247">
        <v>9000000</v>
      </c>
      <c r="C13" s="247">
        <v>1000000</v>
      </c>
      <c r="D13" s="113">
        <f t="shared" si="0"/>
        <v>10000000</v>
      </c>
      <c r="H13" s="1">
        <v>3</v>
      </c>
      <c r="I13" s="1">
        <v>33</v>
      </c>
      <c r="J13" s="1" t="s">
        <v>505</v>
      </c>
      <c r="K13" s="1" t="s">
        <v>441</v>
      </c>
      <c r="L13" s="1" t="s">
        <v>442</v>
      </c>
      <c r="M13" s="1">
        <v>628</v>
      </c>
      <c r="N13" s="36">
        <v>45540</v>
      </c>
      <c r="O13" s="36">
        <v>45541.806504629632</v>
      </c>
      <c r="P13" s="37"/>
      <c r="Q13" s="38">
        <v>0</v>
      </c>
      <c r="R13" s="358">
        <v>26050</v>
      </c>
      <c r="S13" s="38"/>
      <c r="T13" s="38"/>
      <c r="U13" s="38"/>
      <c r="V13" s="38">
        <f>SUM(Q13:U13)+SUM(Y13)</f>
        <v>31000</v>
      </c>
      <c r="Y13" s="358">
        <v>4950</v>
      </c>
    </row>
    <row r="14" spans="1:25" x14ac:dyDescent="0.25">
      <c r="A14" s="251" t="s">
        <v>269</v>
      </c>
      <c r="B14" s="247">
        <v>7000000</v>
      </c>
      <c r="C14" s="247">
        <v>3000000</v>
      </c>
      <c r="D14" s="113">
        <f t="shared" si="0"/>
        <v>10000000</v>
      </c>
    </row>
    <row r="15" spans="1:25" x14ac:dyDescent="0.25">
      <c r="A15" s="251" t="s">
        <v>270</v>
      </c>
      <c r="B15" s="247"/>
      <c r="C15" s="247"/>
      <c r="D15" s="113">
        <f t="shared" si="0"/>
        <v>0</v>
      </c>
      <c r="H15" s="259">
        <f>+COUNT(H11:H14)</f>
        <v>3</v>
      </c>
      <c r="I15" s="261"/>
      <c r="J15" s="262"/>
      <c r="K15" s="262"/>
      <c r="L15" s="263" t="s">
        <v>250</v>
      </c>
      <c r="M15" s="263"/>
      <c r="N15" s="262"/>
      <c r="O15" s="262"/>
      <c r="P15" s="262"/>
      <c r="Q15" s="263">
        <f>SUM(Q11:Q14)</f>
        <v>0</v>
      </c>
      <c r="R15" s="263">
        <f t="shared" ref="R15:Y15" si="2">SUM(R11:R14)</f>
        <v>57873</v>
      </c>
      <c r="S15" s="605">
        <f t="shared" si="2"/>
        <v>2534</v>
      </c>
      <c r="T15" s="263">
        <f t="shared" si="2"/>
        <v>3513</v>
      </c>
      <c r="U15" s="263">
        <f t="shared" si="2"/>
        <v>0</v>
      </c>
      <c r="V15" s="263">
        <f t="shared" si="2"/>
        <v>68870</v>
      </c>
      <c r="W15" s="263">
        <f t="shared" si="2"/>
        <v>0</v>
      </c>
      <c r="X15" s="263">
        <f t="shared" si="2"/>
        <v>0</v>
      </c>
      <c r="Y15" s="263">
        <f t="shared" si="2"/>
        <v>4950</v>
      </c>
    </row>
    <row r="16" spans="1:25" x14ac:dyDescent="0.25">
      <c r="A16" s="251" t="s">
        <v>271</v>
      </c>
      <c r="B16" s="247"/>
      <c r="C16" s="247"/>
      <c r="D16" s="113">
        <f t="shared" si="0"/>
        <v>0</v>
      </c>
    </row>
    <row r="17" spans="1:12" x14ac:dyDescent="0.25">
      <c r="A17" s="251" t="s">
        <v>272</v>
      </c>
      <c r="B17" s="247"/>
      <c r="C17" s="247"/>
      <c r="D17" s="113">
        <f t="shared" si="0"/>
        <v>0</v>
      </c>
    </row>
    <row r="18" spans="1:12" x14ac:dyDescent="0.25">
      <c r="A18" s="251" t="s">
        <v>273</v>
      </c>
      <c r="B18" s="247"/>
      <c r="C18" s="247"/>
      <c r="D18" s="113">
        <f t="shared" si="0"/>
        <v>0</v>
      </c>
    </row>
    <row r="19" spans="1:12" x14ac:dyDescent="0.25">
      <c r="A19" s="251" t="s">
        <v>274</v>
      </c>
      <c r="B19" s="247"/>
      <c r="C19" s="247"/>
      <c r="D19" s="113">
        <f t="shared" si="0"/>
        <v>0</v>
      </c>
    </row>
    <row r="20" spans="1:12" x14ac:dyDescent="0.25">
      <c r="A20" s="251" t="s">
        <v>275</v>
      </c>
      <c r="B20" s="247"/>
      <c r="C20" s="247"/>
      <c r="D20" s="113">
        <f t="shared" si="0"/>
        <v>0</v>
      </c>
    </row>
    <row r="21" spans="1:12" x14ac:dyDescent="0.25">
      <c r="A21" s="251" t="s">
        <v>276</v>
      </c>
      <c r="B21" s="247"/>
      <c r="C21" s="247"/>
      <c r="D21" s="113">
        <f t="shared" si="0"/>
        <v>0</v>
      </c>
    </row>
    <row r="22" spans="1:12" x14ac:dyDescent="0.25">
      <c r="A22" s="251" t="s">
        <v>277</v>
      </c>
      <c r="B22" s="247"/>
      <c r="C22" s="247"/>
      <c r="D22" s="113">
        <f t="shared" si="0"/>
        <v>0</v>
      </c>
    </row>
    <row r="23" spans="1:12" x14ac:dyDescent="0.25">
      <c r="A23" s="252"/>
      <c r="B23" s="253"/>
      <c r="C23" s="253"/>
      <c r="D23" s="254">
        <f t="shared" ref="D23" si="3">B23+C23</f>
        <v>0</v>
      </c>
    </row>
    <row r="24" spans="1:12" x14ac:dyDescent="0.25">
      <c r="A24" s="255" t="s">
        <v>17</v>
      </c>
      <c r="B24" s="256">
        <f>SUM(B11:B22)</f>
        <v>16000000</v>
      </c>
      <c r="C24" s="256">
        <f t="shared" ref="C24:D24" si="4">SUM(C11:C22)</f>
        <v>4000000</v>
      </c>
      <c r="D24" s="257">
        <f t="shared" si="4"/>
        <v>20000000</v>
      </c>
    </row>
    <row r="27" spans="1:12" x14ac:dyDescent="0.25">
      <c r="J27" s="265" t="s">
        <v>506</v>
      </c>
      <c r="K27" s="265" t="s">
        <v>507</v>
      </c>
      <c r="L27" s="75" t="s">
        <v>34</v>
      </c>
    </row>
    <row r="28" spans="1:12" x14ac:dyDescent="0.25">
      <c r="A28" s="154"/>
      <c r="B28" s="155"/>
      <c r="C28" s="155"/>
      <c r="D28" s="155"/>
      <c r="E28" s="156"/>
      <c r="F28" s="157"/>
    </row>
    <row r="29" spans="1:12" x14ac:dyDescent="0.25">
      <c r="A29" s="59" t="s">
        <v>283</v>
      </c>
      <c r="C29" s="76">
        <f>+B24</f>
        <v>16000000</v>
      </c>
      <c r="D29" s="570">
        <f>IF(C30&gt;0,C29/C30,0)</f>
        <v>0.8</v>
      </c>
      <c r="E29" s="79" t="s">
        <v>68</v>
      </c>
      <c r="F29" s="80"/>
      <c r="J29" s="314" t="s">
        <v>505</v>
      </c>
      <c r="K29" s="357">
        <f>+Y15</f>
        <v>4950</v>
      </c>
      <c r="L29" s="358">
        <f>+R13</f>
        <v>26050</v>
      </c>
    </row>
    <row r="30" spans="1:12" x14ac:dyDescent="0.25">
      <c r="A30" s="106" t="s">
        <v>284</v>
      </c>
      <c r="C30" s="105">
        <f>+D24</f>
        <v>20000000</v>
      </c>
      <c r="D30" s="570"/>
      <c r="E30" s="79"/>
      <c r="F30" s="80"/>
    </row>
    <row r="31" spans="1:12" x14ac:dyDescent="0.25">
      <c r="A31" s="158"/>
      <c r="B31" s="121"/>
      <c r="C31" s="121"/>
      <c r="D31" s="159"/>
      <c r="E31" s="159"/>
      <c r="F31" s="160"/>
      <c r="J31" s="1" t="s">
        <v>357</v>
      </c>
      <c r="K31" s="606">
        <f>+D29*K29</f>
        <v>3960</v>
      </c>
      <c r="L31" s="264">
        <f>+L29*D29</f>
        <v>20840</v>
      </c>
    </row>
    <row r="33" spans="4:12" x14ac:dyDescent="0.25">
      <c r="D33" s="86"/>
      <c r="J33" s="387" t="s">
        <v>358</v>
      </c>
      <c r="K33" s="388">
        <f>+K29-K31</f>
        <v>990</v>
      </c>
      <c r="L33" s="388">
        <f>+L29-L31</f>
        <v>5210</v>
      </c>
    </row>
  </sheetData>
  <mergeCells count="2">
    <mergeCell ref="A8:D8"/>
    <mergeCell ref="D29:D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83B7-87A6-42BB-92D1-F9BE7F17FB83}">
  <sheetPr>
    <tabColor rgb="FF00B0F0"/>
  </sheetPr>
  <dimension ref="B2:AA224"/>
  <sheetViews>
    <sheetView showGridLines="0" view="pageBreakPreview" zoomScale="80" zoomScaleNormal="75" zoomScaleSheetLayoutView="80" workbookViewId="0">
      <pane ySplit="8" topLeftCell="A59" activePane="bottomLeft" state="frozen"/>
      <selection pane="bottomLeft" activeCell="G80" sqref="G80:H80"/>
    </sheetView>
  </sheetViews>
  <sheetFormatPr baseColWidth="10" defaultColWidth="11.42578125" defaultRowHeight="15" x14ac:dyDescent="0.25"/>
  <cols>
    <col min="1" max="1" width="3.5703125" style="1" customWidth="1"/>
    <col min="2" max="2" width="4.7109375" style="1" bestFit="1" customWidth="1"/>
    <col min="3" max="3" width="14.42578125" style="1" customWidth="1"/>
    <col min="4" max="5" width="11.42578125" style="1"/>
    <col min="6" max="7" width="4.7109375" style="1" bestFit="1" customWidth="1"/>
    <col min="8" max="8" width="11.42578125" style="1"/>
    <col min="9" max="9" width="5.28515625" style="1" bestFit="1" customWidth="1"/>
    <col min="10" max="10" width="4.7109375" style="1" bestFit="1" customWidth="1"/>
    <col min="11" max="11" width="21.140625" style="1" customWidth="1"/>
    <col min="12" max="12" width="11.42578125" style="1"/>
    <col min="13" max="13" width="6.85546875" style="1" customWidth="1"/>
    <col min="14" max="14" width="8.28515625" style="1" bestFit="1" customWidth="1"/>
    <col min="15" max="15" width="4.7109375" style="1" bestFit="1" customWidth="1"/>
    <col min="16" max="16" width="17.5703125" style="1" customWidth="1"/>
    <col min="17" max="17" width="2.42578125" style="1" bestFit="1" customWidth="1"/>
    <col min="18" max="18" width="4.7109375" style="1" bestFit="1" customWidth="1"/>
    <col min="19" max="19" width="17.85546875" style="1" customWidth="1"/>
    <col min="20" max="20" width="2.42578125" style="1" bestFit="1" customWidth="1"/>
    <col min="21" max="21" width="11.42578125" style="1"/>
    <col min="22" max="22" width="6.5703125" style="1" customWidth="1"/>
    <col min="23" max="16384" width="11.42578125" style="1"/>
  </cols>
  <sheetData>
    <row r="2" spans="2:20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x14ac:dyDescent="0.25">
      <c r="B3" s="3"/>
      <c r="C3" s="551" t="s">
        <v>21</v>
      </c>
      <c r="D3" s="552"/>
      <c r="E3" s="553"/>
      <c r="F3" s="3"/>
      <c r="G3" s="3"/>
      <c r="H3" s="3"/>
      <c r="I3" s="551" t="s">
        <v>22</v>
      </c>
      <c r="J3" s="552"/>
      <c r="K3" s="552"/>
      <c r="L3" s="552"/>
      <c r="M3" s="553"/>
      <c r="N3" s="3"/>
      <c r="O3" s="3"/>
      <c r="P3" s="3"/>
      <c r="Q3" s="551" t="s">
        <v>23</v>
      </c>
      <c r="R3" s="552"/>
      <c r="S3" s="553"/>
      <c r="T3" s="3"/>
    </row>
    <row r="4" spans="2:20" x14ac:dyDescent="0.25">
      <c r="B4" s="2"/>
      <c r="C4" s="554">
        <v>15</v>
      </c>
      <c r="D4" s="123" t="s">
        <v>24</v>
      </c>
      <c r="E4" s="4" t="s">
        <v>25</v>
      </c>
      <c r="F4" s="2"/>
      <c r="G4" s="2"/>
      <c r="H4" s="2"/>
      <c r="I4" s="554">
        <v>3</v>
      </c>
      <c r="J4" s="556">
        <f>+Indice!B9</f>
        <v>0</v>
      </c>
      <c r="K4" s="556"/>
      <c r="L4" s="556"/>
      <c r="M4" s="557"/>
      <c r="N4" s="2"/>
      <c r="O4" s="2"/>
      <c r="P4" s="2"/>
      <c r="Q4" s="554">
        <v>7</v>
      </c>
      <c r="R4" s="560"/>
      <c r="S4" s="561"/>
      <c r="T4" s="2"/>
    </row>
    <row r="5" spans="2:20" ht="15.75" thickBot="1" x14ac:dyDescent="0.3">
      <c r="B5" s="2"/>
      <c r="C5" s="555"/>
      <c r="D5" s="5">
        <v>9</v>
      </c>
      <c r="E5" s="6">
        <v>2024</v>
      </c>
      <c r="F5" s="2"/>
      <c r="G5" s="2"/>
      <c r="H5" s="2"/>
      <c r="I5" s="555"/>
      <c r="J5" s="558"/>
      <c r="K5" s="558"/>
      <c r="L5" s="558"/>
      <c r="M5" s="559"/>
      <c r="N5" s="2"/>
      <c r="O5" s="2"/>
      <c r="P5" s="2"/>
      <c r="Q5" s="555"/>
      <c r="R5" s="562"/>
      <c r="S5" s="563"/>
      <c r="T5" s="2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25">
      <c r="B7" s="7">
        <v>1</v>
      </c>
      <c r="C7" s="485" t="s">
        <v>26</v>
      </c>
      <c r="D7" s="485"/>
      <c r="E7" s="485"/>
      <c r="F7" s="485"/>
      <c r="G7" s="485"/>
      <c r="H7" s="485"/>
      <c r="I7" s="8">
        <v>2</v>
      </c>
      <c r="J7" s="485" t="s">
        <v>27</v>
      </c>
      <c r="K7" s="485"/>
      <c r="L7" s="485"/>
      <c r="M7" s="485"/>
      <c r="N7" s="485"/>
      <c r="O7" s="8">
        <v>5</v>
      </c>
      <c r="P7" s="485" t="s">
        <v>28</v>
      </c>
      <c r="Q7" s="485"/>
      <c r="R7" s="485"/>
      <c r="S7" s="485"/>
      <c r="T7" s="498"/>
    </row>
    <row r="8" spans="2:20" ht="15.75" thickBot="1" x14ac:dyDescent="0.3">
      <c r="B8" s="564"/>
      <c r="C8" s="562"/>
      <c r="D8" s="562"/>
      <c r="E8" s="562"/>
      <c r="F8" s="562"/>
      <c r="G8" s="562"/>
      <c r="H8" s="562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6"/>
    </row>
    <row r="9" spans="2:20" ht="15.75" thickBot="1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x14ac:dyDescent="0.25">
      <c r="B10" s="484" t="s">
        <v>29</v>
      </c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6"/>
    </row>
    <row r="11" spans="2:20" x14ac:dyDescent="0.25">
      <c r="B11" s="518" t="s">
        <v>30</v>
      </c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47"/>
    </row>
    <row r="12" spans="2:20" x14ac:dyDescent="0.25">
      <c r="B12" s="518" t="s">
        <v>31</v>
      </c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47"/>
    </row>
    <row r="13" spans="2:20" x14ac:dyDescent="0.25">
      <c r="B13" s="503" t="s">
        <v>32</v>
      </c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 t="s">
        <v>33</v>
      </c>
      <c r="N13" s="504"/>
      <c r="O13" s="504"/>
      <c r="P13" s="504"/>
      <c r="Q13" s="504"/>
      <c r="R13" s="504" t="s">
        <v>34</v>
      </c>
      <c r="S13" s="504"/>
      <c r="T13" s="505"/>
    </row>
    <row r="14" spans="2:20" x14ac:dyDescent="0.25">
      <c r="B14" s="49">
        <v>1</v>
      </c>
      <c r="C14" s="471" t="s">
        <v>35</v>
      </c>
      <c r="D14" s="471"/>
      <c r="E14" s="471"/>
      <c r="F14" s="471"/>
      <c r="G14" s="471"/>
      <c r="H14" s="471"/>
      <c r="I14" s="471"/>
      <c r="J14" s="471"/>
      <c r="K14" s="471"/>
      <c r="L14" s="471"/>
      <c r="M14" s="125">
        <v>585</v>
      </c>
      <c r="N14" s="506"/>
      <c r="O14" s="506"/>
      <c r="P14" s="506"/>
      <c r="Q14" s="506"/>
      <c r="R14" s="125">
        <v>20</v>
      </c>
      <c r="S14" s="127"/>
      <c r="T14" s="48"/>
    </row>
    <row r="15" spans="2:20" x14ac:dyDescent="0.25">
      <c r="B15" s="49">
        <v>2</v>
      </c>
      <c r="C15" s="471" t="s">
        <v>36</v>
      </c>
      <c r="D15" s="471"/>
      <c r="E15" s="471"/>
      <c r="F15" s="471"/>
      <c r="G15" s="471"/>
      <c r="H15" s="471"/>
      <c r="I15" s="471"/>
      <c r="J15" s="471"/>
      <c r="K15" s="471"/>
      <c r="L15" s="471"/>
      <c r="M15" s="125">
        <v>586</v>
      </c>
      <c r="N15" s="541"/>
      <c r="O15" s="541"/>
      <c r="P15" s="541"/>
      <c r="Q15" s="541"/>
      <c r="R15" s="125">
        <v>142</v>
      </c>
      <c r="S15" s="129"/>
      <c r="T15" s="48"/>
    </row>
    <row r="16" spans="2:20" x14ac:dyDescent="0.25">
      <c r="B16" s="49">
        <v>3</v>
      </c>
      <c r="C16" s="471" t="s">
        <v>37</v>
      </c>
      <c r="D16" s="471"/>
      <c r="E16" s="471"/>
      <c r="F16" s="471"/>
      <c r="G16" s="471"/>
      <c r="H16" s="471"/>
      <c r="I16" s="471"/>
      <c r="J16" s="471"/>
      <c r="K16" s="471"/>
      <c r="L16" s="471"/>
      <c r="M16" s="125">
        <v>731</v>
      </c>
      <c r="N16" s="506"/>
      <c r="O16" s="506"/>
      <c r="P16" s="506"/>
      <c r="Q16" s="506"/>
      <c r="R16" s="125">
        <v>732</v>
      </c>
      <c r="S16" s="127"/>
      <c r="T16" s="48"/>
    </row>
    <row r="17" spans="2:20" x14ac:dyDescent="0.25">
      <c r="B17" s="49">
        <v>4</v>
      </c>
      <c r="C17" s="471" t="s">
        <v>38</v>
      </c>
      <c r="D17" s="471"/>
      <c r="E17" s="471"/>
      <c r="F17" s="471"/>
      <c r="G17" s="471"/>
      <c r="H17" s="471"/>
      <c r="I17" s="471"/>
      <c r="J17" s="471"/>
      <c r="K17" s="471"/>
      <c r="L17" s="471"/>
      <c r="M17" s="125">
        <v>714</v>
      </c>
      <c r="N17" s="506"/>
      <c r="O17" s="506"/>
      <c r="P17" s="506"/>
      <c r="Q17" s="506"/>
      <c r="R17" s="125">
        <v>715</v>
      </c>
      <c r="S17" s="127"/>
      <c r="T17" s="48"/>
    </row>
    <row r="18" spans="2:20" x14ac:dyDescent="0.25">
      <c r="B18" s="49">
        <v>5</v>
      </c>
      <c r="C18" s="471" t="s">
        <v>39</v>
      </c>
      <c r="D18" s="471"/>
      <c r="E18" s="471"/>
      <c r="F18" s="471"/>
      <c r="G18" s="471"/>
      <c r="H18" s="471"/>
      <c r="I18" s="471"/>
      <c r="J18" s="471"/>
      <c r="K18" s="471"/>
      <c r="L18" s="471"/>
      <c r="M18" s="125">
        <v>515</v>
      </c>
      <c r="N18" s="506"/>
      <c r="O18" s="506"/>
      <c r="P18" s="506"/>
      <c r="Q18" s="506"/>
      <c r="R18" s="125">
        <v>587</v>
      </c>
      <c r="S18" s="127"/>
      <c r="T18" s="48"/>
    </row>
    <row r="19" spans="2:20" x14ac:dyDescent="0.25">
      <c r="B19" s="49">
        <v>6</v>
      </c>
      <c r="C19" s="471" t="s">
        <v>40</v>
      </c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125">
        <v>720</v>
      </c>
      <c r="S19" s="127"/>
      <c r="T19" s="48"/>
    </row>
    <row r="20" spans="2:20" x14ac:dyDescent="0.25">
      <c r="B20" s="503" t="s">
        <v>41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 t="s">
        <v>33</v>
      </c>
      <c r="N20" s="504"/>
      <c r="O20" s="504"/>
      <c r="P20" s="504"/>
      <c r="Q20" s="504"/>
      <c r="R20" s="504" t="s">
        <v>42</v>
      </c>
      <c r="S20" s="504"/>
      <c r="T20" s="47"/>
    </row>
    <row r="21" spans="2:20" x14ac:dyDescent="0.25">
      <c r="B21" s="49">
        <v>7</v>
      </c>
      <c r="C21" s="471" t="s">
        <v>43</v>
      </c>
      <c r="D21" s="471"/>
      <c r="E21" s="471"/>
      <c r="F21" s="471"/>
      <c r="G21" s="471"/>
      <c r="H21" s="471"/>
      <c r="I21" s="471"/>
      <c r="J21" s="471"/>
      <c r="K21" s="471"/>
      <c r="L21" s="471"/>
      <c r="M21" s="125">
        <v>503</v>
      </c>
      <c r="N21" s="541"/>
      <c r="O21" s="541"/>
      <c r="P21" s="541"/>
      <c r="Q21" s="541"/>
      <c r="R21" s="125">
        <v>502</v>
      </c>
      <c r="S21" s="129"/>
      <c r="T21" s="48" t="s">
        <v>44</v>
      </c>
    </row>
    <row r="22" spans="2:20" x14ac:dyDescent="0.25">
      <c r="B22" s="49">
        <v>8</v>
      </c>
      <c r="C22" s="471" t="s">
        <v>45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125">
        <v>763</v>
      </c>
      <c r="N22" s="506"/>
      <c r="O22" s="506"/>
      <c r="P22" s="506"/>
      <c r="Q22" s="506"/>
      <c r="R22" s="125">
        <v>764</v>
      </c>
      <c r="S22" s="129"/>
      <c r="T22" s="48" t="s">
        <v>44</v>
      </c>
    </row>
    <row r="23" spans="2:20" x14ac:dyDescent="0.25">
      <c r="B23" s="49">
        <v>9</v>
      </c>
      <c r="C23" s="471" t="s">
        <v>46</v>
      </c>
      <c r="D23" s="471"/>
      <c r="E23" s="471"/>
      <c r="F23" s="471"/>
      <c r="G23" s="471"/>
      <c r="H23" s="471"/>
      <c r="I23" s="471"/>
      <c r="J23" s="471"/>
      <c r="K23" s="471"/>
      <c r="L23" s="471"/>
      <c r="M23" s="125">
        <v>716</v>
      </c>
      <c r="N23" s="506"/>
      <c r="O23" s="506"/>
      <c r="P23" s="506"/>
      <c r="Q23" s="506"/>
      <c r="R23" s="125">
        <v>717</v>
      </c>
      <c r="S23" s="129"/>
      <c r="T23" s="48" t="s">
        <v>44</v>
      </c>
    </row>
    <row r="24" spans="2:20" x14ac:dyDescent="0.25">
      <c r="B24" s="49">
        <v>10</v>
      </c>
      <c r="C24" s="471" t="s">
        <v>47</v>
      </c>
      <c r="D24" s="471"/>
      <c r="E24" s="471"/>
      <c r="F24" s="471"/>
      <c r="G24" s="471"/>
      <c r="H24" s="471"/>
      <c r="I24" s="471"/>
      <c r="J24" s="471"/>
      <c r="K24" s="471"/>
      <c r="L24" s="471"/>
      <c r="M24" s="125">
        <v>110</v>
      </c>
      <c r="N24" s="541"/>
      <c r="O24" s="541"/>
      <c r="P24" s="541"/>
      <c r="Q24" s="541"/>
      <c r="R24" s="125">
        <v>111</v>
      </c>
      <c r="S24" s="129"/>
      <c r="T24" s="48" t="s">
        <v>44</v>
      </c>
    </row>
    <row r="25" spans="2:20" x14ac:dyDescent="0.25">
      <c r="B25" s="49">
        <v>11</v>
      </c>
      <c r="C25" s="471" t="s">
        <v>48</v>
      </c>
      <c r="D25" s="471"/>
      <c r="E25" s="471"/>
      <c r="F25" s="471"/>
      <c r="G25" s="471"/>
      <c r="H25" s="471"/>
      <c r="I25" s="471"/>
      <c r="J25" s="471"/>
      <c r="K25" s="471"/>
      <c r="L25" s="471"/>
      <c r="M25" s="125">
        <v>758</v>
      </c>
      <c r="N25" s="541"/>
      <c r="O25" s="541"/>
      <c r="P25" s="541"/>
      <c r="Q25" s="541"/>
      <c r="R25" s="125">
        <v>759</v>
      </c>
      <c r="S25" s="129"/>
      <c r="T25" s="48" t="s">
        <v>44</v>
      </c>
    </row>
    <row r="26" spans="2:20" x14ac:dyDescent="0.25">
      <c r="B26" s="49">
        <v>12</v>
      </c>
      <c r="C26" s="471" t="s">
        <v>49</v>
      </c>
      <c r="D26" s="471"/>
      <c r="E26" s="471"/>
      <c r="F26" s="471"/>
      <c r="G26" s="471"/>
      <c r="H26" s="471"/>
      <c r="I26" s="471"/>
      <c r="J26" s="471"/>
      <c r="K26" s="471"/>
      <c r="L26" s="471"/>
      <c r="M26" s="125">
        <v>512</v>
      </c>
      <c r="N26" s="541"/>
      <c r="O26" s="541"/>
      <c r="P26" s="541"/>
      <c r="Q26" s="541"/>
      <c r="R26" s="125">
        <v>513</v>
      </c>
      <c r="S26" s="129"/>
      <c r="T26" s="48" t="s">
        <v>44</v>
      </c>
    </row>
    <row r="27" spans="2:20" x14ac:dyDescent="0.25">
      <c r="B27" s="49">
        <v>13</v>
      </c>
      <c r="C27" s="471" t="s">
        <v>50</v>
      </c>
      <c r="D27" s="471"/>
      <c r="E27" s="471"/>
      <c r="F27" s="471"/>
      <c r="G27" s="471"/>
      <c r="H27" s="471"/>
      <c r="I27" s="471"/>
      <c r="J27" s="471"/>
      <c r="K27" s="471"/>
      <c r="L27" s="471"/>
      <c r="M27" s="125">
        <v>509</v>
      </c>
      <c r="N27" s="541"/>
      <c r="O27" s="541"/>
      <c r="P27" s="541"/>
      <c r="Q27" s="541"/>
      <c r="R27" s="125">
        <v>510</v>
      </c>
      <c r="S27" s="129"/>
      <c r="T27" s="48" t="s">
        <v>51</v>
      </c>
    </row>
    <row r="28" spans="2:20" x14ac:dyDescent="0.25">
      <c r="B28" s="49">
        <v>14</v>
      </c>
      <c r="C28" s="471" t="s">
        <v>52</v>
      </c>
      <c r="D28" s="471"/>
      <c r="E28" s="471"/>
      <c r="F28" s="471"/>
      <c r="G28" s="471"/>
      <c r="H28" s="471"/>
      <c r="I28" s="471"/>
      <c r="J28" s="471"/>
      <c r="K28" s="471"/>
      <c r="L28" s="471"/>
      <c r="M28" s="125">
        <v>708</v>
      </c>
      <c r="N28" s="541"/>
      <c r="O28" s="541"/>
      <c r="P28" s="541"/>
      <c r="Q28" s="541"/>
      <c r="R28" s="125">
        <v>709</v>
      </c>
      <c r="S28" s="129"/>
      <c r="T28" s="48" t="s">
        <v>51</v>
      </c>
    </row>
    <row r="29" spans="2:20" x14ac:dyDescent="0.25">
      <c r="B29" s="49">
        <v>15</v>
      </c>
      <c r="C29" s="471" t="s">
        <v>53</v>
      </c>
      <c r="D29" s="471"/>
      <c r="E29" s="471"/>
      <c r="F29" s="471"/>
      <c r="G29" s="471"/>
      <c r="H29" s="471"/>
      <c r="I29" s="471"/>
      <c r="J29" s="471"/>
      <c r="K29" s="471"/>
      <c r="L29" s="471"/>
      <c r="M29" s="125">
        <v>733</v>
      </c>
      <c r="N29" s="506"/>
      <c r="O29" s="506"/>
      <c r="P29" s="506"/>
      <c r="Q29" s="506"/>
      <c r="R29" s="125">
        <v>734</v>
      </c>
      <c r="S29" s="129"/>
      <c r="T29" s="48" t="s">
        <v>51</v>
      </c>
    </row>
    <row r="30" spans="2:20" x14ac:dyDescent="0.25">
      <c r="B30" s="49">
        <v>16</v>
      </c>
      <c r="C30" s="471" t="s">
        <v>54</v>
      </c>
      <c r="D30" s="471"/>
      <c r="E30" s="471"/>
      <c r="F30" s="471"/>
      <c r="G30" s="471"/>
      <c r="H30" s="471"/>
      <c r="I30" s="471"/>
      <c r="J30" s="471"/>
      <c r="K30" s="471"/>
      <c r="L30" s="471"/>
      <c r="M30" s="125">
        <v>516</v>
      </c>
      <c r="N30" s="506"/>
      <c r="O30" s="506"/>
      <c r="P30" s="506"/>
      <c r="Q30" s="506"/>
      <c r="R30" s="125">
        <v>517</v>
      </c>
      <c r="S30" s="129"/>
      <c r="T30" s="48" t="s">
        <v>44</v>
      </c>
    </row>
    <row r="31" spans="2:20" x14ac:dyDescent="0.25">
      <c r="B31" s="49">
        <v>17</v>
      </c>
      <c r="C31" s="471" t="s">
        <v>55</v>
      </c>
      <c r="D31" s="471"/>
      <c r="E31" s="471"/>
      <c r="F31" s="471"/>
      <c r="G31" s="471"/>
      <c r="H31" s="471"/>
      <c r="I31" s="471"/>
      <c r="J31" s="471"/>
      <c r="K31" s="471"/>
      <c r="L31" s="471"/>
      <c r="M31" s="125">
        <v>500</v>
      </c>
      <c r="N31" s="506"/>
      <c r="O31" s="506"/>
      <c r="P31" s="506"/>
      <c r="Q31" s="506"/>
      <c r="R31" s="125">
        <v>501</v>
      </c>
      <c r="S31" s="129"/>
      <c r="T31" s="48" t="s">
        <v>44</v>
      </c>
    </row>
    <row r="32" spans="2:20" x14ac:dyDescent="0.25">
      <c r="B32" s="49">
        <v>18</v>
      </c>
      <c r="C32" s="471" t="s">
        <v>56</v>
      </c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125">
        <v>154</v>
      </c>
      <c r="S32" s="129"/>
      <c r="T32" s="48" t="s">
        <v>44</v>
      </c>
    </row>
    <row r="33" spans="2:27" x14ac:dyDescent="0.25">
      <c r="B33" s="49">
        <v>19</v>
      </c>
      <c r="C33" s="471" t="s">
        <v>57</v>
      </c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125">
        <v>518</v>
      </c>
      <c r="S33" s="129"/>
      <c r="T33" s="48" t="s">
        <v>44</v>
      </c>
    </row>
    <row r="34" spans="2:27" x14ac:dyDescent="0.25">
      <c r="B34" s="49">
        <v>20</v>
      </c>
      <c r="C34" s="471" t="s">
        <v>58</v>
      </c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125">
        <v>713</v>
      </c>
      <c r="S34" s="129"/>
      <c r="T34" s="48" t="s">
        <v>44</v>
      </c>
    </row>
    <row r="35" spans="2:27" x14ac:dyDescent="0.25">
      <c r="B35" s="49">
        <v>21</v>
      </c>
      <c r="C35" s="471" t="s">
        <v>59</v>
      </c>
      <c r="D35" s="471"/>
      <c r="E35" s="471"/>
      <c r="F35" s="124" t="s">
        <v>60</v>
      </c>
      <c r="G35" s="125">
        <v>738</v>
      </c>
      <c r="H35" s="126"/>
      <c r="I35" s="124" t="s">
        <v>61</v>
      </c>
      <c r="J35" s="125">
        <v>739</v>
      </c>
      <c r="K35" s="506"/>
      <c r="L35" s="506"/>
      <c r="M35" s="506"/>
      <c r="N35" s="124" t="s">
        <v>62</v>
      </c>
      <c r="O35" s="125">
        <v>740</v>
      </c>
      <c r="P35" s="506"/>
      <c r="Q35" s="506"/>
      <c r="R35" s="125">
        <v>741</v>
      </c>
      <c r="S35" s="129"/>
      <c r="T35" s="48" t="s">
        <v>44</v>
      </c>
    </row>
    <row r="36" spans="2:27" x14ac:dyDescent="0.25">
      <c r="B36" s="117">
        <v>22</v>
      </c>
      <c r="C36" s="478" t="s">
        <v>63</v>
      </c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479"/>
      <c r="R36" s="118">
        <v>791</v>
      </c>
      <c r="S36" s="130"/>
      <c r="T36" s="48" t="s">
        <v>44</v>
      </c>
    </row>
    <row r="37" spans="2:27" ht="15.75" thickBot="1" x14ac:dyDescent="0.3">
      <c r="B37" s="10">
        <v>23</v>
      </c>
      <c r="C37" s="470" t="s">
        <v>64</v>
      </c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52">
        <v>538</v>
      </c>
      <c r="S37" s="50">
        <f>+S21+S22+S23+S24+S25+S26-S27-S28-S29+S30+S31+S32+S33+S34+S35+S36</f>
        <v>0</v>
      </c>
      <c r="T37" s="11" t="s">
        <v>65</v>
      </c>
    </row>
    <row r="38" spans="2:27" ht="15.75" thickBot="1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2:27" x14ac:dyDescent="0.25">
      <c r="B39" s="484" t="s">
        <v>66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6"/>
    </row>
    <row r="40" spans="2:27" ht="18" customHeight="1" x14ac:dyDescent="0.25">
      <c r="B40" s="518" t="s">
        <v>67</v>
      </c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47"/>
    </row>
    <row r="41" spans="2:27" ht="27" customHeight="1" x14ac:dyDescent="0.25">
      <c r="B41" s="503" t="s">
        <v>69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 t="s">
        <v>70</v>
      </c>
      <c r="N41" s="504"/>
      <c r="O41" s="504"/>
      <c r="P41" s="504"/>
      <c r="Q41" s="504"/>
      <c r="R41" s="504" t="s">
        <v>71</v>
      </c>
      <c r="S41" s="504"/>
      <c r="T41" s="505"/>
    </row>
    <row r="42" spans="2:27" x14ac:dyDescent="0.25">
      <c r="B42" s="244">
        <v>24</v>
      </c>
      <c r="C42" s="520" t="s">
        <v>74</v>
      </c>
      <c r="D42" s="520"/>
      <c r="E42" s="520"/>
      <c r="F42" s="520"/>
      <c r="G42" s="520"/>
      <c r="H42" s="520"/>
      <c r="I42" s="520"/>
      <c r="J42" s="520"/>
      <c r="K42" s="520"/>
      <c r="L42" s="520"/>
      <c r="M42" s="245">
        <v>511</v>
      </c>
      <c r="N42" s="587">
        <f>+'Ej.2 IVA Comun 23 N°3'!K31+'Ej.2 IVA Comun 23 N°3'!S15</f>
        <v>6494</v>
      </c>
      <c r="O42" s="587"/>
      <c r="P42" s="587"/>
      <c r="Q42" s="587"/>
      <c r="R42" s="245">
        <v>514</v>
      </c>
      <c r="S42" s="246">
        <f>+'Ej.2 IVA Comun 23 N°3'!K33</f>
        <v>990</v>
      </c>
      <c r="T42" s="279"/>
      <c r="V42" s="77"/>
      <c r="W42" s="77"/>
      <c r="Y42" s="77"/>
      <c r="Z42" s="77"/>
      <c r="AA42" s="77"/>
    </row>
    <row r="43" spans="2:27" x14ac:dyDescent="0.25">
      <c r="B43" s="518" t="s">
        <v>75</v>
      </c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47"/>
    </row>
    <row r="44" spans="2:27" x14ac:dyDescent="0.25">
      <c r="B44" s="503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 t="s">
        <v>33</v>
      </c>
      <c r="N44" s="504"/>
      <c r="O44" s="504"/>
      <c r="P44" s="504"/>
      <c r="Q44" s="504"/>
      <c r="R44" s="504" t="s">
        <v>34</v>
      </c>
      <c r="S44" s="504"/>
      <c r="T44" s="505"/>
    </row>
    <row r="45" spans="2:27" x14ac:dyDescent="0.25">
      <c r="B45" s="244">
        <v>25</v>
      </c>
      <c r="C45" s="520" t="s">
        <v>78</v>
      </c>
      <c r="D45" s="520"/>
      <c r="E45" s="520"/>
      <c r="F45" s="520"/>
      <c r="G45" s="520"/>
      <c r="H45" s="520"/>
      <c r="I45" s="520"/>
      <c r="J45" s="520"/>
      <c r="K45" s="520"/>
      <c r="L45" s="520"/>
      <c r="M45" s="245">
        <v>564</v>
      </c>
      <c r="N45" s="521">
        <v>1</v>
      </c>
      <c r="O45" s="521"/>
      <c r="P45" s="521"/>
      <c r="Q45" s="521"/>
      <c r="R45" s="245">
        <v>521</v>
      </c>
      <c r="S45" s="246">
        <f>+'Ej.2 IVA Comun 23 N°3'!L33</f>
        <v>5210</v>
      </c>
      <c r="T45" s="279"/>
      <c r="U45" s="78"/>
      <c r="V45" s="78"/>
      <c r="W45" s="78"/>
      <c r="X45" s="78"/>
      <c r="Y45" s="78"/>
    </row>
    <row r="46" spans="2:27" x14ac:dyDescent="0.25">
      <c r="B46" s="49">
        <v>26</v>
      </c>
      <c r="C46" s="471" t="s">
        <v>79</v>
      </c>
      <c r="D46" s="471"/>
      <c r="E46" s="471"/>
      <c r="F46" s="471"/>
      <c r="G46" s="471"/>
      <c r="H46" s="471"/>
      <c r="I46" s="471"/>
      <c r="J46" s="471"/>
      <c r="K46" s="471"/>
      <c r="L46" s="471"/>
      <c r="M46" s="125">
        <v>566</v>
      </c>
      <c r="N46" s="506"/>
      <c r="O46" s="506"/>
      <c r="P46" s="506"/>
      <c r="Q46" s="506"/>
      <c r="R46" s="125">
        <v>560</v>
      </c>
      <c r="S46" s="127"/>
      <c r="T46" s="48"/>
    </row>
    <row r="47" spans="2:27" x14ac:dyDescent="0.25">
      <c r="B47" s="49">
        <v>27</v>
      </c>
      <c r="C47" s="471" t="s">
        <v>80</v>
      </c>
      <c r="D47" s="471"/>
      <c r="E47" s="471"/>
      <c r="F47" s="471"/>
      <c r="G47" s="471"/>
      <c r="H47" s="471"/>
      <c r="I47" s="471"/>
      <c r="J47" s="471"/>
      <c r="K47" s="471"/>
      <c r="L47" s="471"/>
      <c r="M47" s="125">
        <v>584</v>
      </c>
      <c r="N47" s="541"/>
      <c r="O47" s="541"/>
      <c r="P47" s="541"/>
      <c r="Q47" s="541"/>
      <c r="R47" s="125">
        <v>562</v>
      </c>
      <c r="S47" s="132"/>
      <c r="T47" s="48"/>
    </row>
    <row r="48" spans="2:27" x14ac:dyDescent="0.25">
      <c r="B48" s="518" t="s">
        <v>81</v>
      </c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47"/>
    </row>
    <row r="49" spans="2:20" x14ac:dyDescent="0.25">
      <c r="B49" s="518" t="s">
        <v>82</v>
      </c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47"/>
    </row>
    <row r="50" spans="2:20" ht="30" customHeight="1" x14ac:dyDescent="0.25">
      <c r="B50" s="503"/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 t="s">
        <v>33</v>
      </c>
      <c r="N50" s="504"/>
      <c r="O50" s="504"/>
      <c r="P50" s="504"/>
      <c r="Q50" s="504"/>
      <c r="R50" s="504" t="s">
        <v>83</v>
      </c>
      <c r="S50" s="504"/>
      <c r="T50" s="505"/>
    </row>
    <row r="51" spans="2:20" x14ac:dyDescent="0.25">
      <c r="B51" s="244">
        <v>28</v>
      </c>
      <c r="C51" s="520" t="s">
        <v>84</v>
      </c>
      <c r="D51" s="520"/>
      <c r="E51" s="520"/>
      <c r="F51" s="520"/>
      <c r="G51" s="520"/>
      <c r="H51" s="520"/>
      <c r="I51" s="520"/>
      <c r="J51" s="520"/>
      <c r="K51" s="520"/>
      <c r="L51" s="520"/>
      <c r="M51" s="245">
        <v>519</v>
      </c>
      <c r="N51" s="588">
        <f>SUM('Ej.2 IVA Comun 23 N°3'!H15)</f>
        <v>3</v>
      </c>
      <c r="O51" s="589"/>
      <c r="P51" s="589"/>
      <c r="Q51" s="589"/>
      <c r="R51" s="245">
        <v>520</v>
      </c>
      <c r="S51" s="246">
        <f>+'Ej.2 IVA Comun 23 N°3'!K31+'Ej.2 IVA Comun 23 N°3'!S15</f>
        <v>6494</v>
      </c>
      <c r="T51" s="48" t="s">
        <v>44</v>
      </c>
    </row>
    <row r="52" spans="2:20" x14ac:dyDescent="0.25">
      <c r="B52" s="49">
        <v>29</v>
      </c>
      <c r="C52" s="471" t="s">
        <v>85</v>
      </c>
      <c r="D52" s="471"/>
      <c r="E52" s="471"/>
      <c r="F52" s="471"/>
      <c r="G52" s="471"/>
      <c r="H52" s="471"/>
      <c r="I52" s="471"/>
      <c r="J52" s="471"/>
      <c r="K52" s="471"/>
      <c r="L52" s="471"/>
      <c r="M52" s="125">
        <v>761</v>
      </c>
      <c r="N52" s="506"/>
      <c r="O52" s="506"/>
      <c r="P52" s="506"/>
      <c r="Q52" s="506"/>
      <c r="R52" s="125">
        <v>762</v>
      </c>
      <c r="S52" s="132"/>
      <c r="T52" s="48" t="s">
        <v>44</v>
      </c>
    </row>
    <row r="53" spans="2:20" x14ac:dyDescent="0.25">
      <c r="B53" s="49">
        <v>30</v>
      </c>
      <c r="C53" s="471" t="s">
        <v>86</v>
      </c>
      <c r="D53" s="471"/>
      <c r="E53" s="471"/>
      <c r="F53" s="471"/>
      <c r="G53" s="471"/>
      <c r="H53" s="471"/>
      <c r="I53" s="471"/>
      <c r="J53" s="471"/>
      <c r="K53" s="471"/>
      <c r="L53" s="471"/>
      <c r="M53" s="125">
        <v>765</v>
      </c>
      <c r="N53" s="506"/>
      <c r="O53" s="506"/>
      <c r="P53" s="506"/>
      <c r="Q53" s="506"/>
      <c r="R53" s="125">
        <v>766</v>
      </c>
      <c r="S53" s="132"/>
      <c r="T53" s="48" t="s">
        <v>44</v>
      </c>
    </row>
    <row r="54" spans="2:20" x14ac:dyDescent="0.25">
      <c r="B54" s="49">
        <v>31</v>
      </c>
      <c r="C54" s="471" t="s">
        <v>87</v>
      </c>
      <c r="D54" s="471"/>
      <c r="E54" s="471"/>
      <c r="F54" s="471"/>
      <c r="G54" s="471"/>
      <c r="H54" s="471"/>
      <c r="I54" s="471"/>
      <c r="J54" s="471"/>
      <c r="K54" s="471"/>
      <c r="L54" s="471"/>
      <c r="M54" s="125">
        <v>524</v>
      </c>
      <c r="N54" s="541"/>
      <c r="O54" s="541"/>
      <c r="P54" s="541"/>
      <c r="Q54" s="541"/>
      <c r="R54" s="125">
        <v>525</v>
      </c>
      <c r="S54" s="132"/>
      <c r="T54" s="48" t="s">
        <v>44</v>
      </c>
    </row>
    <row r="55" spans="2:20" x14ac:dyDescent="0.25">
      <c r="B55" s="49">
        <v>32</v>
      </c>
      <c r="C55" s="471" t="s">
        <v>89</v>
      </c>
      <c r="D55" s="471"/>
      <c r="E55" s="471"/>
      <c r="F55" s="471"/>
      <c r="G55" s="471"/>
      <c r="H55" s="471"/>
      <c r="I55" s="471"/>
      <c r="J55" s="471"/>
      <c r="K55" s="471"/>
      <c r="L55" s="471"/>
      <c r="M55" s="125">
        <v>527</v>
      </c>
      <c r="N55" s="541"/>
      <c r="O55" s="541"/>
      <c r="P55" s="541"/>
      <c r="Q55" s="541"/>
      <c r="R55" s="125">
        <v>528</v>
      </c>
      <c r="S55" s="132"/>
      <c r="T55" s="48" t="s">
        <v>51</v>
      </c>
    </row>
    <row r="56" spans="2:20" x14ac:dyDescent="0.25">
      <c r="B56" s="49">
        <v>33</v>
      </c>
      <c r="C56" s="471" t="s">
        <v>90</v>
      </c>
      <c r="D56" s="471"/>
      <c r="E56" s="471"/>
      <c r="F56" s="471"/>
      <c r="G56" s="471"/>
      <c r="H56" s="471"/>
      <c r="I56" s="471"/>
      <c r="J56" s="471"/>
      <c r="K56" s="471"/>
      <c r="L56" s="471"/>
      <c r="M56" s="125">
        <v>531</v>
      </c>
      <c r="N56" s="506"/>
      <c r="O56" s="506"/>
      <c r="P56" s="506"/>
      <c r="Q56" s="506"/>
      <c r="R56" s="125">
        <v>532</v>
      </c>
      <c r="S56" s="132"/>
      <c r="T56" s="48" t="s">
        <v>44</v>
      </c>
    </row>
    <row r="57" spans="2:20" x14ac:dyDescent="0.25">
      <c r="B57" s="518" t="s">
        <v>91</v>
      </c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47"/>
    </row>
    <row r="58" spans="2:20" ht="15" customHeight="1" x14ac:dyDescent="0.25">
      <c r="B58" s="49">
        <v>34</v>
      </c>
      <c r="C58" s="471" t="s">
        <v>92</v>
      </c>
      <c r="D58" s="471"/>
      <c r="E58" s="471"/>
      <c r="F58" s="471"/>
      <c r="G58" s="471"/>
      <c r="H58" s="471"/>
      <c r="I58" s="471"/>
      <c r="J58" s="471"/>
      <c r="K58" s="471"/>
      <c r="L58" s="471"/>
      <c r="M58" s="125">
        <v>534</v>
      </c>
      <c r="N58" s="506"/>
      <c r="O58" s="506"/>
      <c r="P58" s="506"/>
      <c r="Q58" s="506"/>
      <c r="R58" s="125">
        <v>535</v>
      </c>
      <c r="S58" s="132"/>
      <c r="T58" s="48" t="s">
        <v>44</v>
      </c>
    </row>
    <row r="59" spans="2:20" x14ac:dyDescent="0.25">
      <c r="B59" s="49">
        <v>35</v>
      </c>
      <c r="C59" s="471" t="s">
        <v>93</v>
      </c>
      <c r="D59" s="471"/>
      <c r="E59" s="471"/>
      <c r="F59" s="471"/>
      <c r="G59" s="471"/>
      <c r="H59" s="471"/>
      <c r="I59" s="471"/>
      <c r="J59" s="471"/>
      <c r="K59" s="471"/>
      <c r="L59" s="471"/>
      <c r="M59" s="125">
        <v>536</v>
      </c>
      <c r="N59" s="506"/>
      <c r="O59" s="506"/>
      <c r="P59" s="506"/>
      <c r="Q59" s="506"/>
      <c r="R59" s="125">
        <v>553</v>
      </c>
      <c r="S59" s="132"/>
      <c r="T59" s="48" t="s">
        <v>44</v>
      </c>
    </row>
    <row r="60" spans="2:20" x14ac:dyDescent="0.25">
      <c r="B60" s="49">
        <v>36</v>
      </c>
      <c r="C60" s="471" t="s">
        <v>94</v>
      </c>
      <c r="D60" s="471"/>
      <c r="E60" s="471"/>
      <c r="F60" s="471"/>
      <c r="G60" s="471"/>
      <c r="H60" s="471"/>
      <c r="I60" s="471"/>
      <c r="J60" s="471"/>
      <c r="K60" s="471"/>
      <c r="L60" s="471"/>
      <c r="M60" s="471"/>
      <c r="N60" s="471"/>
      <c r="O60" s="471"/>
      <c r="P60" s="471"/>
      <c r="Q60" s="471"/>
      <c r="R60" s="125">
        <v>504</v>
      </c>
      <c r="S60" s="133"/>
      <c r="T60" s="48" t="s">
        <v>44</v>
      </c>
    </row>
    <row r="61" spans="2:20" x14ac:dyDescent="0.25">
      <c r="B61" s="49">
        <v>37</v>
      </c>
      <c r="C61" s="471" t="s">
        <v>95</v>
      </c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125">
        <v>593</v>
      </c>
      <c r="S61" s="132"/>
      <c r="T61" s="48" t="s">
        <v>51</v>
      </c>
    </row>
    <row r="62" spans="2:20" x14ac:dyDescent="0.25">
      <c r="B62" s="49">
        <v>38</v>
      </c>
      <c r="C62" s="471" t="s">
        <v>96</v>
      </c>
      <c r="D62" s="471"/>
      <c r="E62" s="471"/>
      <c r="F62" s="471"/>
      <c r="G62" s="471"/>
      <c r="H62" s="471"/>
      <c r="I62" s="471"/>
      <c r="J62" s="471"/>
      <c r="K62" s="471"/>
      <c r="L62" s="471"/>
      <c r="M62" s="471"/>
      <c r="N62" s="471"/>
      <c r="O62" s="471"/>
      <c r="P62" s="471"/>
      <c r="Q62" s="471"/>
      <c r="R62" s="125">
        <v>594</v>
      </c>
      <c r="S62" s="132"/>
      <c r="T62" s="48" t="s">
        <v>51</v>
      </c>
    </row>
    <row r="63" spans="2:20" x14ac:dyDescent="0.25">
      <c r="B63" s="49">
        <v>39</v>
      </c>
      <c r="C63" s="471" t="s">
        <v>97</v>
      </c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1"/>
      <c r="R63" s="125">
        <v>592</v>
      </c>
      <c r="S63" s="132"/>
      <c r="T63" s="48" t="s">
        <v>51</v>
      </c>
    </row>
    <row r="64" spans="2:20" x14ac:dyDescent="0.25">
      <c r="B64" s="49">
        <v>40</v>
      </c>
      <c r="C64" s="471" t="s">
        <v>98</v>
      </c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125">
        <v>539</v>
      </c>
      <c r="S64" s="132"/>
      <c r="T64" s="48" t="s">
        <v>51</v>
      </c>
    </row>
    <row r="65" spans="2:20" x14ac:dyDescent="0.25">
      <c r="B65" s="49">
        <v>41</v>
      </c>
      <c r="C65" s="471" t="s">
        <v>99</v>
      </c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1"/>
      <c r="R65" s="125">
        <v>718</v>
      </c>
      <c r="S65" s="132"/>
      <c r="T65" s="48" t="s">
        <v>51</v>
      </c>
    </row>
    <row r="66" spans="2:20" x14ac:dyDescent="0.25">
      <c r="B66" s="49">
        <v>42</v>
      </c>
      <c r="C66" s="471" t="s">
        <v>100</v>
      </c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71"/>
      <c r="O66" s="471"/>
      <c r="P66" s="471"/>
      <c r="Q66" s="471"/>
      <c r="R66" s="125">
        <v>790</v>
      </c>
      <c r="S66" s="132"/>
      <c r="T66" s="48" t="s">
        <v>51</v>
      </c>
    </row>
    <row r="67" spans="2:20" x14ac:dyDescent="0.25">
      <c r="B67" s="49">
        <v>43</v>
      </c>
      <c r="C67" s="471" t="s">
        <v>101</v>
      </c>
      <c r="D67" s="471"/>
      <c r="E67" s="471"/>
      <c r="F67" s="471"/>
      <c r="G67" s="471"/>
      <c r="H67" s="471"/>
      <c r="I67" s="471"/>
      <c r="J67" s="471"/>
      <c r="K67" s="471"/>
      <c r="L67" s="471"/>
      <c r="M67" s="471"/>
      <c r="N67" s="471"/>
      <c r="O67" s="471"/>
      <c r="P67" s="471"/>
      <c r="Q67" s="471"/>
      <c r="R67" s="125">
        <v>164</v>
      </c>
      <c r="S67" s="132"/>
      <c r="T67" s="48" t="s">
        <v>44</v>
      </c>
    </row>
    <row r="68" spans="2:20" x14ac:dyDescent="0.25">
      <c r="B68" s="518" t="s">
        <v>102</v>
      </c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47"/>
    </row>
    <row r="69" spans="2:20" ht="32.25" customHeight="1" x14ac:dyDescent="0.25">
      <c r="B69" s="503"/>
      <c r="C69" s="504"/>
      <c r="D69" s="504"/>
      <c r="E69" s="504"/>
      <c r="F69" s="504"/>
      <c r="G69" s="504"/>
      <c r="H69" s="504"/>
      <c r="I69" s="504"/>
      <c r="J69" s="504" t="s">
        <v>103</v>
      </c>
      <c r="K69" s="504"/>
      <c r="L69" s="504"/>
      <c r="M69" s="504"/>
      <c r="N69" s="504" t="s">
        <v>104</v>
      </c>
      <c r="O69" s="504"/>
      <c r="P69" s="504"/>
      <c r="Q69" s="504"/>
      <c r="R69" s="504"/>
      <c r="S69" s="504"/>
      <c r="T69" s="505"/>
    </row>
    <row r="70" spans="2:20" x14ac:dyDescent="0.25">
      <c r="B70" s="526">
        <v>44</v>
      </c>
      <c r="C70" s="471" t="s">
        <v>105</v>
      </c>
      <c r="D70" s="471"/>
      <c r="E70" s="471"/>
      <c r="F70" s="471"/>
      <c r="G70" s="471"/>
      <c r="H70" s="471"/>
      <c r="I70" s="471"/>
      <c r="J70" s="516">
        <v>730</v>
      </c>
      <c r="K70" s="506"/>
      <c r="L70" s="506"/>
      <c r="M70" s="506"/>
      <c r="N70" s="124" t="s">
        <v>61</v>
      </c>
      <c r="O70" s="125">
        <v>742</v>
      </c>
      <c r="P70" s="506"/>
      <c r="Q70" s="506"/>
      <c r="R70" s="516">
        <v>127</v>
      </c>
      <c r="S70" s="540"/>
      <c r="T70" s="525" t="s">
        <v>44</v>
      </c>
    </row>
    <row r="71" spans="2:20" x14ac:dyDescent="0.25">
      <c r="B71" s="526"/>
      <c r="C71" s="471"/>
      <c r="D71" s="471"/>
      <c r="E71" s="471"/>
      <c r="F71" s="471"/>
      <c r="G71" s="471"/>
      <c r="H71" s="471"/>
      <c r="I71" s="471"/>
      <c r="J71" s="516"/>
      <c r="K71" s="506"/>
      <c r="L71" s="506"/>
      <c r="M71" s="506"/>
      <c r="N71" s="124" t="s">
        <v>62</v>
      </c>
      <c r="O71" s="125">
        <v>743</v>
      </c>
      <c r="P71" s="506"/>
      <c r="Q71" s="506"/>
      <c r="R71" s="516"/>
      <c r="S71" s="540"/>
      <c r="T71" s="525"/>
    </row>
    <row r="72" spans="2:20" x14ac:dyDescent="0.25">
      <c r="B72" s="526">
        <v>45</v>
      </c>
      <c r="C72" s="471" t="s">
        <v>106</v>
      </c>
      <c r="D72" s="471"/>
      <c r="E72" s="471"/>
      <c r="F72" s="471"/>
      <c r="G72" s="471"/>
      <c r="H72" s="471"/>
      <c r="I72" s="471"/>
      <c r="J72" s="516">
        <v>729</v>
      </c>
      <c r="K72" s="506"/>
      <c r="L72" s="506"/>
      <c r="M72" s="506"/>
      <c r="N72" s="124" t="s">
        <v>61</v>
      </c>
      <c r="O72" s="125">
        <v>744</v>
      </c>
      <c r="P72" s="506"/>
      <c r="Q72" s="506"/>
      <c r="R72" s="516">
        <v>544</v>
      </c>
      <c r="S72" s="540"/>
      <c r="T72" s="525" t="s">
        <v>44</v>
      </c>
    </row>
    <row r="73" spans="2:20" x14ac:dyDescent="0.25">
      <c r="B73" s="526"/>
      <c r="C73" s="471"/>
      <c r="D73" s="471"/>
      <c r="E73" s="471"/>
      <c r="F73" s="471"/>
      <c r="G73" s="471"/>
      <c r="H73" s="471"/>
      <c r="I73" s="471"/>
      <c r="J73" s="516"/>
      <c r="K73" s="506"/>
      <c r="L73" s="506"/>
      <c r="M73" s="506"/>
      <c r="N73" s="124" t="s">
        <v>62</v>
      </c>
      <c r="O73" s="125">
        <v>745</v>
      </c>
      <c r="P73" s="506"/>
      <c r="Q73" s="506"/>
      <c r="R73" s="516"/>
      <c r="S73" s="540"/>
      <c r="T73" s="525"/>
    </row>
    <row r="74" spans="2:20" x14ac:dyDescent="0.25">
      <c r="B74" s="49">
        <v>46</v>
      </c>
      <c r="C74" s="471" t="s">
        <v>107</v>
      </c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125">
        <v>523</v>
      </c>
      <c r="S74" s="127"/>
      <c r="T74" s="48" t="s">
        <v>44</v>
      </c>
    </row>
    <row r="75" spans="2:20" x14ac:dyDescent="0.25">
      <c r="B75" s="49">
        <v>47</v>
      </c>
      <c r="C75" s="471" t="s">
        <v>108</v>
      </c>
      <c r="D75" s="471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125">
        <v>712</v>
      </c>
      <c r="S75" s="127"/>
      <c r="T75" s="48" t="s">
        <v>44</v>
      </c>
    </row>
    <row r="76" spans="2:20" x14ac:dyDescent="0.25">
      <c r="B76" s="49">
        <v>48</v>
      </c>
      <c r="C76" s="471" t="s">
        <v>109</v>
      </c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125">
        <v>757</v>
      </c>
      <c r="S76" s="127"/>
      <c r="T76" s="48" t="s">
        <v>44</v>
      </c>
    </row>
    <row r="77" spans="2:20" ht="15.75" thickBot="1" x14ac:dyDescent="0.3">
      <c r="B77" s="10">
        <v>49</v>
      </c>
      <c r="C77" s="470" t="s">
        <v>110</v>
      </c>
      <c r="D77" s="470"/>
      <c r="E77" s="470"/>
      <c r="F77" s="470"/>
      <c r="G77" s="470"/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52">
        <v>537</v>
      </c>
      <c r="S77" s="12">
        <f>+S51+S52+S53+S54+S56-S55+S58+S59+S60+S67-S61-S62-S63-S64-S65+S70+S72+S74+S75+S76-S66</f>
        <v>6494</v>
      </c>
      <c r="T77" s="11" t="s">
        <v>65</v>
      </c>
    </row>
    <row r="78" spans="2:20" ht="15.75" thickBot="1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5">
      <c r="B79" s="484" t="s">
        <v>111</v>
      </c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 t="s">
        <v>112</v>
      </c>
      <c r="S79" s="485"/>
      <c r="T79" s="498"/>
    </row>
    <row r="80" spans="2:20" ht="30" customHeight="1" thickBot="1" x14ac:dyDescent="0.3">
      <c r="B80" s="356">
        <v>50</v>
      </c>
      <c r="C80" s="537" t="s">
        <v>113</v>
      </c>
      <c r="D80" s="537"/>
      <c r="E80" s="537"/>
      <c r="F80" s="280">
        <v>77</v>
      </c>
      <c r="G80" s="538">
        <f>IF(S37&gt;S77,0,S77-S37)</f>
        <v>6494</v>
      </c>
      <c r="H80" s="538"/>
      <c r="I80" s="52">
        <v>756</v>
      </c>
      <c r="J80" s="470" t="s">
        <v>114</v>
      </c>
      <c r="K80" s="470"/>
      <c r="L80" s="13"/>
      <c r="M80" s="52">
        <v>755</v>
      </c>
      <c r="N80" s="539">
        <f>IF(L80="SI",S37-S77,0)</f>
        <v>0</v>
      </c>
      <c r="O80" s="539"/>
      <c r="P80" s="470" t="s">
        <v>115</v>
      </c>
      <c r="Q80" s="470"/>
      <c r="R80" s="52">
        <v>89</v>
      </c>
      <c r="S80" s="50">
        <f>IF(L80="SI",0,IF(S37&gt;S77,S37-S77,0))</f>
        <v>0</v>
      </c>
      <c r="T80" s="11" t="s">
        <v>44</v>
      </c>
    </row>
    <row r="81" spans="2:20" x14ac:dyDescent="0.25">
      <c r="B81" s="484" t="s">
        <v>116</v>
      </c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  <c r="N81" s="485"/>
      <c r="O81" s="485"/>
      <c r="P81" s="485"/>
      <c r="Q81" s="485"/>
      <c r="R81" s="485" t="s">
        <v>112</v>
      </c>
      <c r="S81" s="485"/>
      <c r="T81" s="498"/>
    </row>
    <row r="82" spans="2:20" ht="39" customHeight="1" thickBot="1" x14ac:dyDescent="0.3">
      <c r="B82" s="49">
        <v>51</v>
      </c>
      <c r="C82" s="471" t="s">
        <v>117</v>
      </c>
      <c r="D82" s="471"/>
      <c r="E82" s="471"/>
      <c r="F82" s="125">
        <v>772</v>
      </c>
      <c r="G82" s="527"/>
      <c r="H82" s="527"/>
      <c r="I82" s="125">
        <v>773</v>
      </c>
      <c r="J82" s="471" t="s">
        <v>118</v>
      </c>
      <c r="K82" s="471"/>
      <c r="L82" s="136"/>
      <c r="M82" s="125">
        <v>774</v>
      </c>
      <c r="N82" s="527"/>
      <c r="O82" s="527"/>
      <c r="P82" s="471" t="s">
        <v>119</v>
      </c>
      <c r="Q82" s="471"/>
      <c r="R82" s="125">
        <v>775</v>
      </c>
      <c r="S82" s="135"/>
      <c r="T82" s="48" t="s">
        <v>44</v>
      </c>
    </row>
    <row r="83" spans="2:20" ht="27" customHeight="1" x14ac:dyDescent="0.25">
      <c r="B83" s="484" t="s">
        <v>116</v>
      </c>
      <c r="C83" s="485"/>
      <c r="D83" s="485"/>
      <c r="E83" s="485"/>
      <c r="F83" s="485"/>
      <c r="G83" s="485"/>
      <c r="H83" s="485"/>
      <c r="I83" s="485"/>
      <c r="J83" s="485"/>
      <c r="K83" s="485"/>
      <c r="L83" s="485"/>
      <c r="M83" s="485"/>
      <c r="N83" s="485"/>
      <c r="O83" s="485"/>
      <c r="P83" s="485"/>
      <c r="Q83" s="485"/>
      <c r="R83" s="485" t="s">
        <v>112</v>
      </c>
      <c r="S83" s="485"/>
      <c r="T83" s="498"/>
    </row>
    <row r="84" spans="2:20" ht="51" customHeight="1" x14ac:dyDescent="0.25">
      <c r="B84" s="49">
        <v>52</v>
      </c>
      <c r="C84" s="471" t="s">
        <v>120</v>
      </c>
      <c r="D84" s="471"/>
      <c r="E84" s="471"/>
      <c r="F84" s="125">
        <v>777</v>
      </c>
      <c r="G84" s="527"/>
      <c r="H84" s="527"/>
      <c r="I84" s="125">
        <v>778</v>
      </c>
      <c r="J84" s="471" t="s">
        <v>121</v>
      </c>
      <c r="K84" s="471"/>
      <c r="L84" s="136"/>
      <c r="M84" s="125">
        <v>779</v>
      </c>
      <c r="N84" s="527"/>
      <c r="O84" s="527"/>
      <c r="P84" s="471" t="s">
        <v>119</v>
      </c>
      <c r="Q84" s="471"/>
      <c r="R84" s="125">
        <v>780</v>
      </c>
      <c r="S84" s="137"/>
      <c r="T84" s="48" t="s">
        <v>44</v>
      </c>
    </row>
    <row r="85" spans="2:20" x14ac:dyDescent="0.25">
      <c r="B85" s="49">
        <v>53</v>
      </c>
      <c r="C85" s="471" t="s">
        <v>122</v>
      </c>
      <c r="D85" s="471"/>
      <c r="E85" s="471"/>
      <c r="F85" s="125">
        <v>782</v>
      </c>
      <c r="G85" s="527"/>
      <c r="H85" s="527"/>
      <c r="I85" s="528" t="s">
        <v>123</v>
      </c>
      <c r="J85" s="529"/>
      <c r="K85" s="529"/>
      <c r="L85" s="529"/>
      <c r="M85" s="529"/>
      <c r="N85" s="529"/>
      <c r="O85" s="529"/>
      <c r="P85" s="529"/>
      <c r="Q85" s="530"/>
      <c r="R85" s="125">
        <v>783</v>
      </c>
      <c r="S85" s="137"/>
      <c r="T85" s="48" t="s">
        <v>44</v>
      </c>
    </row>
    <row r="86" spans="2:20" x14ac:dyDescent="0.25">
      <c r="B86" s="49">
        <v>54</v>
      </c>
      <c r="C86" s="471" t="s">
        <v>124</v>
      </c>
      <c r="D86" s="471"/>
      <c r="E86" s="471"/>
      <c r="F86" s="125">
        <v>784</v>
      </c>
      <c r="G86" s="527"/>
      <c r="H86" s="527"/>
      <c r="I86" s="528" t="s">
        <v>123</v>
      </c>
      <c r="J86" s="529"/>
      <c r="K86" s="529"/>
      <c r="L86" s="529"/>
      <c r="M86" s="529"/>
      <c r="N86" s="529"/>
      <c r="O86" s="529"/>
      <c r="P86" s="529"/>
      <c r="Q86" s="530"/>
      <c r="R86" s="125">
        <v>785</v>
      </c>
      <c r="S86" s="137"/>
      <c r="T86" s="48" t="s">
        <v>44</v>
      </c>
    </row>
    <row r="87" spans="2:20" x14ac:dyDescent="0.25">
      <c r="B87" s="49">
        <v>55</v>
      </c>
      <c r="C87" s="471" t="s">
        <v>125</v>
      </c>
      <c r="D87" s="471"/>
      <c r="E87" s="471"/>
      <c r="F87" s="125">
        <v>786</v>
      </c>
      <c r="G87" s="527"/>
      <c r="H87" s="527"/>
      <c r="I87" s="528" t="s">
        <v>123</v>
      </c>
      <c r="J87" s="529"/>
      <c r="K87" s="529"/>
      <c r="L87" s="529"/>
      <c r="M87" s="529"/>
      <c r="N87" s="529"/>
      <c r="O87" s="529"/>
      <c r="P87" s="529"/>
      <c r="Q87" s="530"/>
      <c r="R87" s="125">
        <v>787</v>
      </c>
      <c r="S87" s="137"/>
      <c r="T87" s="48" t="s">
        <v>44</v>
      </c>
    </row>
    <row r="88" spans="2:20" ht="15.75" thickBot="1" x14ac:dyDescent="0.3">
      <c r="B88" s="14">
        <v>56</v>
      </c>
      <c r="C88" s="472" t="s">
        <v>126</v>
      </c>
      <c r="D88" s="472"/>
      <c r="E88" s="472"/>
      <c r="F88" s="15">
        <v>788</v>
      </c>
      <c r="G88" s="531"/>
      <c r="H88" s="531"/>
      <c r="I88" s="532" t="s">
        <v>123</v>
      </c>
      <c r="J88" s="533"/>
      <c r="K88" s="533"/>
      <c r="L88" s="533"/>
      <c r="M88" s="533"/>
      <c r="N88" s="533"/>
      <c r="O88" s="533"/>
      <c r="P88" s="533"/>
      <c r="Q88" s="534"/>
      <c r="R88" s="15">
        <v>789</v>
      </c>
      <c r="S88" s="16"/>
      <c r="T88" s="17" t="s">
        <v>44</v>
      </c>
    </row>
    <row r="89" spans="2:20" ht="15.75" thickBot="1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0" x14ac:dyDescent="0.25">
      <c r="B90" s="18">
        <v>57</v>
      </c>
      <c r="C90" s="473" t="s">
        <v>127</v>
      </c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8">
        <v>760</v>
      </c>
      <c r="S90" s="19"/>
      <c r="T90" s="20" t="s">
        <v>44</v>
      </c>
    </row>
    <row r="91" spans="2:20" ht="15.75" thickBot="1" x14ac:dyDescent="0.3">
      <c r="B91" s="14">
        <v>58</v>
      </c>
      <c r="C91" s="472" t="s">
        <v>128</v>
      </c>
      <c r="D91" s="472"/>
      <c r="E91" s="472"/>
      <c r="F91" s="472"/>
      <c r="G91" s="472"/>
      <c r="H91" s="472"/>
      <c r="I91" s="472"/>
      <c r="J91" s="472"/>
      <c r="K91" s="472"/>
      <c r="L91" s="472"/>
      <c r="M91" s="472"/>
      <c r="N91" s="472"/>
      <c r="O91" s="472"/>
      <c r="P91" s="472"/>
      <c r="Q91" s="472"/>
      <c r="R91" s="15">
        <v>767</v>
      </c>
      <c r="S91" s="21"/>
      <c r="T91" s="17" t="s">
        <v>44</v>
      </c>
    </row>
    <row r="92" spans="2:20" ht="15.75" thickBot="1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2:20" x14ac:dyDescent="0.25">
      <c r="B93" s="484" t="s">
        <v>129</v>
      </c>
      <c r="C93" s="485"/>
      <c r="D93" s="485"/>
      <c r="E93" s="485"/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P93" s="485"/>
      <c r="Q93" s="485"/>
      <c r="R93" s="485"/>
      <c r="S93" s="485"/>
      <c r="T93" s="46"/>
    </row>
    <row r="94" spans="2:20" x14ac:dyDescent="0.25">
      <c r="B94" s="518" t="s">
        <v>130</v>
      </c>
      <c r="C94" s="519"/>
      <c r="D94" s="519"/>
      <c r="E94" s="519"/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47"/>
    </row>
    <row r="95" spans="2:20" x14ac:dyDescent="0.25">
      <c r="B95" s="49">
        <v>59</v>
      </c>
      <c r="C95" s="471" t="s">
        <v>131</v>
      </c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125">
        <v>50</v>
      </c>
      <c r="S95" s="127"/>
      <c r="T95" s="48" t="s">
        <v>44</v>
      </c>
    </row>
    <row r="96" spans="2:20" x14ac:dyDescent="0.25">
      <c r="B96" s="526">
        <v>60</v>
      </c>
      <c r="C96" s="471" t="s">
        <v>132</v>
      </c>
      <c r="D96" s="471"/>
      <c r="E96" s="471"/>
      <c r="F96" s="471"/>
      <c r="G96" s="471" t="s">
        <v>133</v>
      </c>
      <c r="H96" s="471"/>
      <c r="I96" s="516">
        <v>751</v>
      </c>
      <c r="J96" s="471" t="s">
        <v>134</v>
      </c>
      <c r="K96" s="471"/>
      <c r="L96" s="471"/>
      <c r="M96" s="516">
        <v>735</v>
      </c>
      <c r="N96" s="471" t="s">
        <v>135</v>
      </c>
      <c r="O96" s="471"/>
      <c r="P96" s="471" t="s">
        <v>136</v>
      </c>
      <c r="Q96" s="471"/>
      <c r="R96" s="516">
        <v>48</v>
      </c>
      <c r="S96" s="524"/>
      <c r="T96" s="525" t="s">
        <v>44</v>
      </c>
    </row>
    <row r="97" spans="2:20" x14ac:dyDescent="0.25">
      <c r="B97" s="526"/>
      <c r="C97" s="471"/>
      <c r="D97" s="471"/>
      <c r="E97" s="471"/>
      <c r="F97" s="471"/>
      <c r="G97" s="471"/>
      <c r="H97" s="471"/>
      <c r="I97" s="516"/>
      <c r="J97" s="506"/>
      <c r="K97" s="506"/>
      <c r="L97" s="506"/>
      <c r="M97" s="516"/>
      <c r="N97" s="506"/>
      <c r="O97" s="506"/>
      <c r="P97" s="471"/>
      <c r="Q97" s="471"/>
      <c r="R97" s="516"/>
      <c r="S97" s="524"/>
      <c r="T97" s="525"/>
    </row>
    <row r="98" spans="2:20" x14ac:dyDescent="0.25">
      <c r="B98" s="49">
        <v>61</v>
      </c>
      <c r="C98" s="471" t="s">
        <v>498</v>
      </c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125">
        <v>151</v>
      </c>
      <c r="S98" s="132"/>
      <c r="T98" s="48" t="s">
        <v>44</v>
      </c>
    </row>
    <row r="99" spans="2:20" x14ac:dyDescent="0.25">
      <c r="B99" s="49">
        <v>62</v>
      </c>
      <c r="C99" s="471" t="s">
        <v>137</v>
      </c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125">
        <v>153</v>
      </c>
      <c r="S99" s="132"/>
      <c r="T99" s="48" t="s">
        <v>44</v>
      </c>
    </row>
    <row r="100" spans="2:20" ht="15" customHeight="1" x14ac:dyDescent="0.25">
      <c r="B100" s="49"/>
      <c r="C100" s="545" t="s">
        <v>475</v>
      </c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7"/>
      <c r="R100" s="188">
        <v>49</v>
      </c>
      <c r="S100" s="189"/>
      <c r="T100" s="48"/>
    </row>
    <row r="101" spans="2:20" x14ac:dyDescent="0.25">
      <c r="B101" s="49"/>
      <c r="C101" s="545" t="s">
        <v>476</v>
      </c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6"/>
      <c r="Q101" s="547"/>
      <c r="R101" s="188">
        <v>155</v>
      </c>
      <c r="S101" s="189"/>
      <c r="T101" s="48"/>
    </row>
    <row r="102" spans="2:20" x14ac:dyDescent="0.25">
      <c r="B102" s="49">
        <v>63</v>
      </c>
      <c r="C102" s="471" t="s">
        <v>138</v>
      </c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125">
        <v>54</v>
      </c>
      <c r="S102" s="132"/>
      <c r="T102" s="48" t="s">
        <v>44</v>
      </c>
    </row>
    <row r="103" spans="2:20" x14ac:dyDescent="0.25">
      <c r="B103" s="49">
        <v>64</v>
      </c>
      <c r="C103" s="471" t="s">
        <v>139</v>
      </c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125">
        <v>56</v>
      </c>
      <c r="S103" s="132"/>
      <c r="T103" s="48" t="s">
        <v>44</v>
      </c>
    </row>
    <row r="104" spans="2:20" x14ac:dyDescent="0.25">
      <c r="B104" s="49">
        <v>65</v>
      </c>
      <c r="C104" s="471" t="s">
        <v>140</v>
      </c>
      <c r="D104" s="471"/>
      <c r="E104" s="471"/>
      <c r="F104" s="471"/>
      <c r="G104" s="471"/>
      <c r="H104" s="471"/>
      <c r="I104" s="471"/>
      <c r="J104" s="471"/>
      <c r="K104" s="471"/>
      <c r="L104" s="471"/>
      <c r="M104" s="471"/>
      <c r="N104" s="471"/>
      <c r="O104" s="471"/>
      <c r="P104" s="471"/>
      <c r="Q104" s="471"/>
      <c r="R104" s="125">
        <v>588</v>
      </c>
      <c r="S104" s="132"/>
      <c r="T104" s="48" t="s">
        <v>44</v>
      </c>
    </row>
    <row r="105" spans="2:20" x14ac:dyDescent="0.25">
      <c r="B105" s="49">
        <v>66</v>
      </c>
      <c r="C105" s="471" t="s">
        <v>141</v>
      </c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125">
        <v>589</v>
      </c>
      <c r="S105" s="132"/>
      <c r="T105" s="48" t="s">
        <v>44</v>
      </c>
    </row>
    <row r="106" spans="2:20" x14ac:dyDescent="0.25">
      <c r="B106" s="518" t="s">
        <v>142</v>
      </c>
      <c r="C106" s="519"/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47"/>
    </row>
    <row r="107" spans="2:20" ht="30" customHeight="1" x14ac:dyDescent="0.25">
      <c r="B107" s="49"/>
      <c r="C107" s="125"/>
      <c r="D107" s="516" t="s">
        <v>143</v>
      </c>
      <c r="E107" s="516"/>
      <c r="F107" s="516"/>
      <c r="G107" s="516" t="s">
        <v>144</v>
      </c>
      <c r="H107" s="516"/>
      <c r="I107" s="516" t="s">
        <v>145</v>
      </c>
      <c r="J107" s="516"/>
      <c r="K107" s="516"/>
      <c r="L107" s="516"/>
      <c r="M107" s="516" t="s">
        <v>146</v>
      </c>
      <c r="N107" s="516"/>
      <c r="O107" s="516" t="s">
        <v>147</v>
      </c>
      <c r="P107" s="516"/>
      <c r="Q107" s="516"/>
      <c r="R107" s="516" t="s">
        <v>148</v>
      </c>
      <c r="S107" s="516"/>
      <c r="T107" s="517"/>
    </row>
    <row r="108" spans="2:20" ht="30" x14ac:dyDescent="0.25">
      <c r="B108" s="49">
        <v>67</v>
      </c>
      <c r="C108" s="138" t="s">
        <v>149</v>
      </c>
      <c r="D108" s="516">
        <v>750</v>
      </c>
      <c r="E108" s="516"/>
      <c r="F108" s="139"/>
      <c r="G108" s="125">
        <v>30</v>
      </c>
      <c r="H108" s="129">
        <v>0</v>
      </c>
      <c r="I108" s="125">
        <v>563</v>
      </c>
      <c r="J108" s="585"/>
      <c r="K108" s="585"/>
      <c r="L108" s="585"/>
      <c r="M108" s="125">
        <v>115</v>
      </c>
      <c r="N108" s="128"/>
      <c r="O108" s="125">
        <v>68</v>
      </c>
      <c r="P108" s="506"/>
      <c r="Q108" s="506"/>
      <c r="R108" s="125">
        <v>62</v>
      </c>
      <c r="S108" s="134">
        <f>IF(F108="SI",0,ROUND(J108*N108%,0))</f>
        <v>0</v>
      </c>
      <c r="T108" s="48" t="s">
        <v>44</v>
      </c>
    </row>
    <row r="109" spans="2:20" x14ac:dyDescent="0.25">
      <c r="B109" s="49">
        <v>68</v>
      </c>
      <c r="C109" s="471" t="s">
        <v>150</v>
      </c>
      <c r="D109" s="471"/>
      <c r="E109" s="471"/>
      <c r="F109" s="471"/>
      <c r="G109" s="125">
        <v>565</v>
      </c>
      <c r="H109" s="126"/>
      <c r="I109" s="125">
        <v>120</v>
      </c>
      <c r="J109" s="506"/>
      <c r="K109" s="506"/>
      <c r="L109" s="506"/>
      <c r="M109" s="125">
        <v>542</v>
      </c>
      <c r="N109" s="126"/>
      <c r="O109" s="125">
        <v>122</v>
      </c>
      <c r="P109" s="506"/>
      <c r="Q109" s="506"/>
      <c r="R109" s="125">
        <v>123</v>
      </c>
      <c r="S109" s="134"/>
      <c r="T109" s="48" t="s">
        <v>44</v>
      </c>
    </row>
    <row r="110" spans="2:20" x14ac:dyDescent="0.25">
      <c r="B110" s="49">
        <v>69</v>
      </c>
      <c r="C110" s="471" t="s">
        <v>151</v>
      </c>
      <c r="D110" s="471"/>
      <c r="E110" s="471"/>
      <c r="F110" s="471"/>
      <c r="G110" s="125">
        <v>700</v>
      </c>
      <c r="H110" s="126"/>
      <c r="I110" s="125">
        <v>701</v>
      </c>
      <c r="J110" s="506"/>
      <c r="K110" s="506"/>
      <c r="L110" s="506"/>
      <c r="M110" s="125">
        <v>702</v>
      </c>
      <c r="N110" s="126"/>
      <c r="O110" s="125">
        <v>711</v>
      </c>
      <c r="P110" s="506"/>
      <c r="Q110" s="506"/>
      <c r="R110" s="125">
        <v>703</v>
      </c>
      <c r="S110" s="134"/>
      <c r="T110" s="48" t="s">
        <v>44</v>
      </c>
    </row>
    <row r="111" spans="2:20" x14ac:dyDescent="0.25">
      <c r="B111" s="49">
        <v>70</v>
      </c>
      <c r="C111" s="471" t="s">
        <v>152</v>
      </c>
      <c r="D111" s="471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125">
        <v>66</v>
      </c>
      <c r="S111" s="127"/>
      <c r="T111" s="48" t="s">
        <v>44</v>
      </c>
    </row>
    <row r="112" spans="2:20" x14ac:dyDescent="0.25">
      <c r="B112" s="474">
        <v>71</v>
      </c>
      <c r="C112" s="510" t="s">
        <v>153</v>
      </c>
      <c r="D112" s="511"/>
      <c r="E112" s="511"/>
      <c r="F112" s="512"/>
      <c r="G112" s="516" t="s">
        <v>154</v>
      </c>
      <c r="H112" s="516"/>
      <c r="I112" s="516" t="s">
        <v>155</v>
      </c>
      <c r="J112" s="516"/>
      <c r="K112" s="516"/>
      <c r="L112" s="516"/>
      <c r="M112" s="516" t="s">
        <v>156</v>
      </c>
      <c r="N112" s="516"/>
      <c r="O112" s="516"/>
      <c r="P112" s="516"/>
      <c r="Q112" s="516"/>
      <c r="R112" s="516"/>
      <c r="S112" s="516"/>
      <c r="T112" s="517"/>
    </row>
    <row r="113" spans="2:20" x14ac:dyDescent="0.25">
      <c r="B113" s="475"/>
      <c r="C113" s="513"/>
      <c r="D113" s="514"/>
      <c r="E113" s="514"/>
      <c r="F113" s="515"/>
      <c r="G113" s="125">
        <v>721</v>
      </c>
      <c r="H113" s="126"/>
      <c r="I113" s="125">
        <v>722</v>
      </c>
      <c r="J113" s="506"/>
      <c r="K113" s="506"/>
      <c r="L113" s="506"/>
      <c r="M113" s="125">
        <v>724</v>
      </c>
      <c r="N113" s="509"/>
      <c r="O113" s="509"/>
      <c r="P113" s="471" t="s">
        <v>157</v>
      </c>
      <c r="Q113" s="471"/>
      <c r="R113" s="125">
        <v>723</v>
      </c>
      <c r="S113" s="134"/>
      <c r="T113" s="48" t="s">
        <v>51</v>
      </c>
    </row>
    <row r="114" spans="2:20" x14ac:dyDescent="0.25">
      <c r="B114" s="49">
        <v>72</v>
      </c>
      <c r="C114" s="471" t="s">
        <v>158</v>
      </c>
      <c r="D114" s="471"/>
      <c r="E114" s="471"/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P114" s="471"/>
      <c r="Q114" s="471"/>
      <c r="R114" s="125">
        <v>152</v>
      </c>
      <c r="S114" s="127"/>
      <c r="T114" s="48" t="s">
        <v>44</v>
      </c>
    </row>
    <row r="115" spans="2:20" x14ac:dyDescent="0.25">
      <c r="B115" s="49">
        <v>73</v>
      </c>
      <c r="C115" s="471" t="s">
        <v>159</v>
      </c>
      <c r="D115" s="471"/>
      <c r="E115" s="471"/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P115" s="471"/>
      <c r="Q115" s="471"/>
      <c r="R115" s="125">
        <v>70</v>
      </c>
      <c r="S115" s="127"/>
      <c r="T115" s="48" t="s">
        <v>44</v>
      </c>
    </row>
    <row r="116" spans="2:20" ht="15.75" thickBot="1" x14ac:dyDescent="0.3">
      <c r="B116" s="14">
        <v>74</v>
      </c>
      <c r="C116" s="472" t="s">
        <v>160</v>
      </c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15">
        <v>766</v>
      </c>
      <c r="S116" s="21"/>
      <c r="T116" s="17"/>
    </row>
    <row r="117" spans="2:20" ht="15.75" thickBot="1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2:20" ht="15.75" thickBot="1" x14ac:dyDescent="0.3">
      <c r="B118" s="22">
        <v>75</v>
      </c>
      <c r="C118" s="483" t="s">
        <v>161</v>
      </c>
      <c r="D118" s="483"/>
      <c r="E118" s="483"/>
      <c r="F118" s="483"/>
      <c r="G118" s="483"/>
      <c r="H118" s="483"/>
      <c r="I118" s="483"/>
      <c r="J118" s="483"/>
      <c r="K118" s="483"/>
      <c r="L118" s="483"/>
      <c r="M118" s="483"/>
      <c r="N118" s="483"/>
      <c r="O118" s="483"/>
      <c r="P118" s="483"/>
      <c r="Q118" s="483"/>
      <c r="R118" s="23">
        <v>595</v>
      </c>
      <c r="S118" s="24">
        <f>SUM(S80,S95:S105,S108:S111)</f>
        <v>0</v>
      </c>
      <c r="T118" s="25" t="s">
        <v>65</v>
      </c>
    </row>
    <row r="119" spans="2:20" ht="15.75" thickBot="1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2:20" x14ac:dyDescent="0.25">
      <c r="B120" s="484" t="s">
        <v>162</v>
      </c>
      <c r="C120" s="485"/>
      <c r="D120" s="485"/>
      <c r="E120" s="485"/>
      <c r="F120" s="485"/>
      <c r="G120" s="485"/>
      <c r="H120" s="485"/>
      <c r="I120" s="485"/>
      <c r="J120" s="485"/>
      <c r="K120" s="485"/>
      <c r="L120" s="485"/>
      <c r="M120" s="485"/>
      <c r="N120" s="485"/>
      <c r="O120" s="485"/>
      <c r="P120" s="485"/>
      <c r="Q120" s="485"/>
      <c r="R120" s="485"/>
      <c r="S120" s="485"/>
      <c r="T120" s="46"/>
    </row>
    <row r="121" spans="2:20" x14ac:dyDescent="0.25">
      <c r="B121" s="503"/>
      <c r="C121" s="504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 t="s">
        <v>112</v>
      </c>
      <c r="S121" s="504"/>
      <c r="T121" s="505"/>
    </row>
    <row r="122" spans="2:20" x14ac:dyDescent="0.25">
      <c r="B122" s="49">
        <v>76</v>
      </c>
      <c r="C122" s="471" t="s">
        <v>163</v>
      </c>
      <c r="D122" s="471"/>
      <c r="E122" s="471"/>
      <c r="F122" s="471"/>
      <c r="G122" s="471"/>
      <c r="H122" s="471"/>
      <c r="I122" s="471"/>
      <c r="J122" s="471"/>
      <c r="K122" s="471"/>
      <c r="L122" s="471"/>
      <c r="M122" s="471"/>
      <c r="N122" s="471"/>
      <c r="O122" s="471"/>
      <c r="P122" s="471"/>
      <c r="Q122" s="471"/>
      <c r="R122" s="125">
        <v>529</v>
      </c>
      <c r="S122" s="127"/>
      <c r="T122" s="48"/>
    </row>
    <row r="123" spans="2:20" x14ac:dyDescent="0.25">
      <c r="B123" s="49">
        <v>77</v>
      </c>
      <c r="C123" s="471" t="s">
        <v>164</v>
      </c>
      <c r="D123" s="471"/>
      <c r="E123" s="471"/>
      <c r="F123" s="471"/>
      <c r="G123" s="471"/>
      <c r="H123" s="471"/>
      <c r="I123" s="471"/>
      <c r="J123" s="471"/>
      <c r="K123" s="471"/>
      <c r="L123" s="471"/>
      <c r="M123" s="471"/>
      <c r="N123" s="471"/>
      <c r="O123" s="471"/>
      <c r="P123" s="471"/>
      <c r="Q123" s="471"/>
      <c r="R123" s="125">
        <v>530</v>
      </c>
      <c r="S123" s="127"/>
      <c r="T123" s="48"/>
    </row>
    <row r="124" spans="2:20" ht="15.75" thickBot="1" x14ac:dyDescent="0.3">
      <c r="B124" s="10">
        <v>78</v>
      </c>
      <c r="C124" s="470" t="s">
        <v>165</v>
      </c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52">
        <v>409</v>
      </c>
      <c r="S124" s="26"/>
      <c r="T124" s="11" t="s">
        <v>44</v>
      </c>
    </row>
    <row r="125" spans="2:20" ht="15.75" thickBot="1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2:20" x14ac:dyDescent="0.25">
      <c r="B126" s="484" t="s">
        <v>166</v>
      </c>
      <c r="C126" s="485"/>
      <c r="D126" s="485"/>
      <c r="E126" s="485"/>
      <c r="F126" s="485"/>
      <c r="G126" s="485"/>
      <c r="H126" s="485"/>
      <c r="I126" s="485"/>
      <c r="J126" s="485"/>
      <c r="K126" s="485"/>
      <c r="L126" s="485"/>
      <c r="M126" s="485"/>
      <c r="N126" s="485"/>
      <c r="O126" s="485"/>
      <c r="P126" s="485"/>
      <c r="Q126" s="485"/>
      <c r="R126" s="485"/>
      <c r="S126" s="485"/>
      <c r="T126" s="46"/>
    </row>
    <row r="127" spans="2:20" x14ac:dyDescent="0.25">
      <c r="B127" s="49">
        <v>79</v>
      </c>
      <c r="C127" s="471" t="s">
        <v>167</v>
      </c>
      <c r="D127" s="471"/>
      <c r="E127" s="471"/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P127" s="471"/>
      <c r="Q127" s="471"/>
      <c r="R127" s="125">
        <v>522</v>
      </c>
      <c r="S127" s="127"/>
      <c r="T127" s="48" t="s">
        <v>44</v>
      </c>
    </row>
    <row r="128" spans="2:20" x14ac:dyDescent="0.25">
      <c r="B128" s="49">
        <v>80</v>
      </c>
      <c r="C128" s="471" t="s">
        <v>168</v>
      </c>
      <c r="D128" s="471"/>
      <c r="E128" s="471"/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P128" s="471"/>
      <c r="Q128" s="471"/>
      <c r="R128" s="125">
        <v>526</v>
      </c>
      <c r="S128" s="127"/>
      <c r="T128" s="48" t="s">
        <v>44</v>
      </c>
    </row>
    <row r="129" spans="2:20" x14ac:dyDescent="0.25">
      <c r="B129" s="49">
        <v>81</v>
      </c>
      <c r="C129" s="471" t="s">
        <v>169</v>
      </c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125">
        <v>113</v>
      </c>
      <c r="S129" s="127"/>
      <c r="T129" s="48" t="s">
        <v>44</v>
      </c>
    </row>
    <row r="130" spans="2:20" x14ac:dyDescent="0.25">
      <c r="B130" s="49">
        <v>82</v>
      </c>
      <c r="C130" s="471" t="s">
        <v>170</v>
      </c>
      <c r="D130" s="471"/>
      <c r="E130" s="471"/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P130" s="471"/>
      <c r="Q130" s="471"/>
      <c r="R130" s="125">
        <v>28</v>
      </c>
      <c r="S130" s="127"/>
      <c r="T130" s="48" t="s">
        <v>51</v>
      </c>
    </row>
    <row r="131" spans="2:20" x14ac:dyDescent="0.25">
      <c r="B131" s="49">
        <v>83</v>
      </c>
      <c r="C131" s="471" t="s">
        <v>171</v>
      </c>
      <c r="D131" s="471"/>
      <c r="E131" s="471"/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P131" s="471"/>
      <c r="Q131" s="471"/>
      <c r="R131" s="125">
        <v>548</v>
      </c>
      <c r="S131" s="127"/>
      <c r="T131" s="48" t="s">
        <v>51</v>
      </c>
    </row>
    <row r="132" spans="2:20" x14ac:dyDescent="0.25">
      <c r="B132" s="49">
        <v>84</v>
      </c>
      <c r="C132" s="471" t="s">
        <v>172</v>
      </c>
      <c r="D132" s="471"/>
      <c r="E132" s="471"/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P132" s="471"/>
      <c r="Q132" s="471"/>
      <c r="R132" s="125">
        <v>540</v>
      </c>
      <c r="S132" s="127"/>
      <c r="T132" s="48" t="s">
        <v>51</v>
      </c>
    </row>
    <row r="133" spans="2:20" x14ac:dyDescent="0.25">
      <c r="B133" s="49">
        <v>85</v>
      </c>
      <c r="C133" s="471" t="s">
        <v>173</v>
      </c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P133" s="471"/>
      <c r="Q133" s="471"/>
      <c r="R133" s="125">
        <v>541</v>
      </c>
      <c r="S133" s="127"/>
      <c r="T133" s="48" t="s">
        <v>44</v>
      </c>
    </row>
    <row r="134" spans="2:20" ht="15.75" thickBot="1" x14ac:dyDescent="0.3">
      <c r="B134" s="49">
        <v>86</v>
      </c>
      <c r="C134" s="470" t="s">
        <v>174</v>
      </c>
      <c r="D134" s="470"/>
      <c r="E134" s="470"/>
      <c r="F134" s="470"/>
      <c r="G134" s="470"/>
      <c r="H134" s="470"/>
      <c r="I134" s="52">
        <v>549</v>
      </c>
      <c r="J134" s="507">
        <f>IF(S127+S128+S129+S133-S130-S131-S132&lt;0,-(S127+S128+S129+S133-S130-S131-S132),0)</f>
        <v>0</v>
      </c>
      <c r="K134" s="507"/>
      <c r="L134" s="507"/>
      <c r="M134" s="470" t="s">
        <v>175</v>
      </c>
      <c r="N134" s="470"/>
      <c r="O134" s="470"/>
      <c r="P134" s="470"/>
      <c r="Q134" s="470"/>
      <c r="R134" s="52">
        <v>550</v>
      </c>
      <c r="S134" s="27">
        <f>IF(S127+S128+S129+S133-S130-S131-S132&gt;0,S127+S128+S129+S133-S130-S131-S132,0)</f>
        <v>0</v>
      </c>
      <c r="T134" s="11" t="s">
        <v>44</v>
      </c>
    </row>
    <row r="135" spans="2:20" ht="15.75" thickBot="1" x14ac:dyDescent="0.3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2:20" x14ac:dyDescent="0.25">
      <c r="B136" s="484" t="s">
        <v>176</v>
      </c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  <c r="N136" s="485"/>
      <c r="O136" s="485"/>
      <c r="P136" s="485"/>
      <c r="Q136" s="485"/>
      <c r="R136" s="485"/>
      <c r="S136" s="485"/>
      <c r="T136" s="46"/>
    </row>
    <row r="137" spans="2:20" x14ac:dyDescent="0.25">
      <c r="B137" s="503"/>
      <c r="C137" s="504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 t="s">
        <v>177</v>
      </c>
      <c r="S137" s="504"/>
      <c r="T137" s="505"/>
    </row>
    <row r="138" spans="2:20" x14ac:dyDescent="0.25">
      <c r="B138" s="49">
        <v>87</v>
      </c>
      <c r="C138" s="471" t="s">
        <v>178</v>
      </c>
      <c r="D138" s="471"/>
      <c r="E138" s="471"/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P138" s="471"/>
      <c r="Q138" s="471"/>
      <c r="R138" s="125">
        <v>577</v>
      </c>
      <c r="S138" s="127"/>
      <c r="T138" s="48" t="s">
        <v>44</v>
      </c>
    </row>
    <row r="139" spans="2:20" x14ac:dyDescent="0.25">
      <c r="B139" s="49">
        <v>88</v>
      </c>
      <c r="C139" s="471" t="s">
        <v>179</v>
      </c>
      <c r="D139" s="471"/>
      <c r="E139" s="471"/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P139" s="471"/>
      <c r="Q139" s="471"/>
      <c r="R139" s="125">
        <v>32</v>
      </c>
      <c r="S139" s="127"/>
      <c r="T139" s="48" t="s">
        <v>44</v>
      </c>
    </row>
    <row r="140" spans="2:20" x14ac:dyDescent="0.25">
      <c r="B140" s="49">
        <v>89</v>
      </c>
      <c r="C140" s="471" t="s">
        <v>180</v>
      </c>
      <c r="D140" s="471"/>
      <c r="E140" s="471"/>
      <c r="F140" s="471"/>
      <c r="G140" s="471"/>
      <c r="H140" s="471"/>
      <c r="I140" s="471"/>
      <c r="J140" s="471"/>
      <c r="K140" s="471"/>
      <c r="L140" s="471"/>
      <c r="M140" s="471"/>
      <c r="N140" s="471"/>
      <c r="O140" s="471"/>
      <c r="P140" s="471"/>
      <c r="Q140" s="471"/>
      <c r="R140" s="125">
        <v>150</v>
      </c>
      <c r="S140" s="127"/>
      <c r="T140" s="48" t="s">
        <v>44</v>
      </c>
    </row>
    <row r="141" spans="2:20" x14ac:dyDescent="0.25">
      <c r="B141" s="49">
        <v>90</v>
      </c>
      <c r="C141" s="471" t="s">
        <v>181</v>
      </c>
      <c r="D141" s="471"/>
      <c r="E141" s="471"/>
      <c r="F141" s="471"/>
      <c r="G141" s="471"/>
      <c r="H141" s="471"/>
      <c r="I141" s="471"/>
      <c r="J141" s="471"/>
      <c r="K141" s="471"/>
      <c r="L141" s="471"/>
      <c r="M141" s="471"/>
      <c r="N141" s="471"/>
      <c r="O141" s="471"/>
      <c r="P141" s="471"/>
      <c r="Q141" s="471"/>
      <c r="R141" s="125">
        <v>146</v>
      </c>
      <c r="S141" s="127"/>
      <c r="T141" s="48" t="s">
        <v>44</v>
      </c>
    </row>
    <row r="142" spans="2:20" x14ac:dyDescent="0.25">
      <c r="B142" s="49">
        <v>91</v>
      </c>
      <c r="C142" s="471" t="s">
        <v>182</v>
      </c>
      <c r="D142" s="471"/>
      <c r="E142" s="471"/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P142" s="471"/>
      <c r="Q142" s="471"/>
      <c r="R142" s="125">
        <v>752</v>
      </c>
      <c r="S142" s="127"/>
      <c r="T142" s="48" t="s">
        <v>44</v>
      </c>
    </row>
    <row r="143" spans="2:20" x14ac:dyDescent="0.25">
      <c r="B143" s="49">
        <v>92</v>
      </c>
      <c r="C143" s="471" t="s">
        <v>183</v>
      </c>
      <c r="D143" s="471"/>
      <c r="E143" s="471"/>
      <c r="F143" s="471"/>
      <c r="G143" s="471"/>
      <c r="H143" s="471"/>
      <c r="I143" s="471"/>
      <c r="J143" s="471"/>
      <c r="K143" s="471"/>
      <c r="L143" s="471"/>
      <c r="M143" s="471"/>
      <c r="N143" s="471"/>
      <c r="O143" s="471"/>
      <c r="P143" s="471"/>
      <c r="Q143" s="471"/>
      <c r="R143" s="125">
        <v>545</v>
      </c>
      <c r="S143" s="127"/>
      <c r="T143" s="48" t="s">
        <v>44</v>
      </c>
    </row>
    <row r="144" spans="2:20" x14ac:dyDescent="0.25">
      <c r="B144" s="49">
        <v>93</v>
      </c>
      <c r="C144" s="471" t="s">
        <v>184</v>
      </c>
      <c r="D144" s="471"/>
      <c r="E144" s="471"/>
      <c r="F144" s="471"/>
      <c r="G144" s="471"/>
      <c r="H144" s="471"/>
      <c r="I144" s="471"/>
      <c r="J144" s="471"/>
      <c r="K144" s="471"/>
      <c r="L144" s="471"/>
      <c r="M144" s="471"/>
      <c r="N144" s="471"/>
      <c r="O144" s="471"/>
      <c r="P144" s="471"/>
      <c r="Q144" s="471"/>
      <c r="R144" s="125">
        <v>546</v>
      </c>
      <c r="S144" s="127"/>
      <c r="T144" s="48" t="s">
        <v>51</v>
      </c>
    </row>
    <row r="145" spans="2:20" x14ac:dyDescent="0.25">
      <c r="B145" s="49">
        <v>94</v>
      </c>
      <c r="C145" s="471" t="s">
        <v>52</v>
      </c>
      <c r="D145" s="471"/>
      <c r="E145" s="471"/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P145" s="471"/>
      <c r="Q145" s="471"/>
      <c r="R145" s="125">
        <v>710</v>
      </c>
      <c r="S145" s="127"/>
      <c r="T145" s="48" t="s">
        <v>51</v>
      </c>
    </row>
    <row r="146" spans="2:20" x14ac:dyDescent="0.25">
      <c r="B146" s="49">
        <v>95</v>
      </c>
      <c r="C146" s="471" t="s">
        <v>185</v>
      </c>
      <c r="D146" s="471"/>
      <c r="E146" s="471"/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P146" s="471"/>
      <c r="Q146" s="471"/>
      <c r="R146" s="125">
        <v>602</v>
      </c>
      <c r="S146" s="134">
        <f>+S138+S139+S140+S141+S142+S143-S144-S145</f>
        <v>0</v>
      </c>
      <c r="T146" s="48" t="s">
        <v>65</v>
      </c>
    </row>
    <row r="147" spans="2:20" ht="36.75" customHeight="1" x14ac:dyDescent="0.25">
      <c r="B147" s="503"/>
      <c r="C147" s="504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 t="s">
        <v>186</v>
      </c>
      <c r="N147" s="504"/>
      <c r="O147" s="504"/>
      <c r="P147" s="504"/>
      <c r="Q147" s="504"/>
      <c r="R147" s="504" t="s">
        <v>187</v>
      </c>
      <c r="S147" s="504"/>
      <c r="T147" s="505"/>
    </row>
    <row r="148" spans="2:20" x14ac:dyDescent="0.25">
      <c r="B148" s="49">
        <v>96</v>
      </c>
      <c r="C148" s="471" t="s">
        <v>178</v>
      </c>
      <c r="D148" s="471"/>
      <c r="E148" s="471"/>
      <c r="F148" s="471"/>
      <c r="G148" s="471"/>
      <c r="H148" s="471"/>
      <c r="I148" s="471"/>
      <c r="J148" s="471"/>
      <c r="K148" s="471"/>
      <c r="L148" s="471"/>
      <c r="M148" s="125">
        <v>575</v>
      </c>
      <c r="N148" s="506"/>
      <c r="O148" s="506"/>
      <c r="P148" s="506"/>
      <c r="Q148" s="140" t="s">
        <v>44</v>
      </c>
      <c r="R148" s="125">
        <v>576</v>
      </c>
      <c r="S148" s="127"/>
      <c r="T148" s="48" t="s">
        <v>44</v>
      </c>
    </row>
    <row r="149" spans="2:20" x14ac:dyDescent="0.25">
      <c r="B149" s="49">
        <v>97</v>
      </c>
      <c r="C149" s="471" t="s">
        <v>179</v>
      </c>
      <c r="D149" s="471"/>
      <c r="E149" s="471"/>
      <c r="F149" s="471"/>
      <c r="G149" s="471"/>
      <c r="H149" s="471"/>
      <c r="I149" s="471"/>
      <c r="J149" s="471"/>
      <c r="K149" s="471"/>
      <c r="L149" s="471"/>
      <c r="M149" s="125">
        <v>574</v>
      </c>
      <c r="N149" s="506"/>
      <c r="O149" s="506"/>
      <c r="P149" s="506"/>
      <c r="Q149" s="140" t="s">
        <v>44</v>
      </c>
      <c r="R149" s="125">
        <v>33</v>
      </c>
      <c r="S149" s="127"/>
      <c r="T149" s="48" t="s">
        <v>44</v>
      </c>
    </row>
    <row r="150" spans="2:20" x14ac:dyDescent="0.25">
      <c r="B150" s="49">
        <v>98</v>
      </c>
      <c r="C150" s="471" t="s">
        <v>180</v>
      </c>
      <c r="D150" s="471"/>
      <c r="E150" s="471"/>
      <c r="F150" s="471"/>
      <c r="G150" s="471"/>
      <c r="H150" s="471"/>
      <c r="I150" s="471"/>
      <c r="J150" s="471"/>
      <c r="K150" s="471"/>
      <c r="L150" s="471"/>
      <c r="M150" s="125">
        <v>580</v>
      </c>
      <c r="N150" s="506"/>
      <c r="O150" s="506"/>
      <c r="P150" s="506"/>
      <c r="Q150" s="140" t="s">
        <v>44</v>
      </c>
      <c r="R150" s="125">
        <v>149</v>
      </c>
      <c r="S150" s="127"/>
      <c r="T150" s="48" t="s">
        <v>44</v>
      </c>
    </row>
    <row r="151" spans="2:20" x14ac:dyDescent="0.25">
      <c r="B151" s="49">
        <v>99</v>
      </c>
      <c r="C151" s="471" t="s">
        <v>181</v>
      </c>
      <c r="D151" s="471"/>
      <c r="E151" s="471"/>
      <c r="F151" s="471"/>
      <c r="G151" s="471"/>
      <c r="H151" s="471"/>
      <c r="I151" s="471"/>
      <c r="J151" s="471"/>
      <c r="K151" s="471"/>
      <c r="L151" s="471"/>
      <c r="M151" s="125">
        <v>582</v>
      </c>
      <c r="N151" s="506"/>
      <c r="O151" s="506"/>
      <c r="P151" s="506"/>
      <c r="Q151" s="140" t="s">
        <v>44</v>
      </c>
      <c r="R151" s="125">
        <v>85</v>
      </c>
      <c r="S151" s="127"/>
      <c r="T151" s="48" t="s">
        <v>44</v>
      </c>
    </row>
    <row r="152" spans="2:20" x14ac:dyDescent="0.25">
      <c r="B152" s="49">
        <v>100</v>
      </c>
      <c r="C152" s="471" t="s">
        <v>182</v>
      </c>
      <c r="D152" s="471"/>
      <c r="E152" s="471"/>
      <c r="F152" s="471"/>
      <c r="G152" s="471"/>
      <c r="H152" s="471"/>
      <c r="I152" s="471"/>
      <c r="J152" s="471"/>
      <c r="K152" s="471"/>
      <c r="L152" s="471"/>
      <c r="M152" s="125">
        <v>753</v>
      </c>
      <c r="N152" s="506"/>
      <c r="O152" s="506"/>
      <c r="P152" s="506"/>
      <c r="Q152" s="140" t="s">
        <v>44</v>
      </c>
      <c r="R152" s="125">
        <v>754</v>
      </c>
      <c r="S152" s="127"/>
      <c r="T152" s="48" t="s">
        <v>44</v>
      </c>
    </row>
    <row r="153" spans="2:20" x14ac:dyDescent="0.25">
      <c r="B153" s="49">
        <v>101</v>
      </c>
      <c r="C153" s="471" t="s">
        <v>188</v>
      </c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125">
        <v>551</v>
      </c>
      <c r="S153" s="127"/>
      <c r="T153" s="48" t="s">
        <v>44</v>
      </c>
    </row>
    <row r="154" spans="2:20" x14ac:dyDescent="0.25">
      <c r="B154" s="49">
        <v>102</v>
      </c>
      <c r="C154" s="471" t="s">
        <v>189</v>
      </c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P154" s="471"/>
      <c r="Q154" s="471"/>
      <c r="R154" s="125">
        <v>559</v>
      </c>
      <c r="S154" s="127"/>
      <c r="T154" s="48" t="s">
        <v>51</v>
      </c>
    </row>
    <row r="155" spans="2:20" x14ac:dyDescent="0.25">
      <c r="B155" s="49">
        <v>103</v>
      </c>
      <c r="C155" s="471" t="s">
        <v>190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125">
        <v>508</v>
      </c>
      <c r="S155" s="127"/>
      <c r="T155" s="48" t="s">
        <v>44</v>
      </c>
    </row>
    <row r="156" spans="2:20" x14ac:dyDescent="0.25">
      <c r="B156" s="49">
        <v>104</v>
      </c>
      <c r="C156" s="471" t="s">
        <v>191</v>
      </c>
      <c r="D156" s="471"/>
      <c r="E156" s="471"/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P156" s="471"/>
      <c r="Q156" s="471"/>
      <c r="R156" s="125">
        <v>533</v>
      </c>
      <c r="S156" s="127"/>
      <c r="T156" s="48" t="s">
        <v>51</v>
      </c>
    </row>
    <row r="157" spans="2:20" x14ac:dyDescent="0.25">
      <c r="B157" s="49">
        <v>105</v>
      </c>
      <c r="C157" s="471" t="s">
        <v>192</v>
      </c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P157" s="471"/>
      <c r="Q157" s="471"/>
      <c r="R157" s="125">
        <v>552</v>
      </c>
      <c r="S157" s="127"/>
      <c r="T157" s="48" t="s">
        <v>44</v>
      </c>
    </row>
    <row r="158" spans="2:20" ht="15.75" thickBot="1" x14ac:dyDescent="0.3">
      <c r="B158" s="49">
        <v>106</v>
      </c>
      <c r="C158" s="470" t="s">
        <v>193</v>
      </c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52">
        <v>603</v>
      </c>
      <c r="S158" s="27">
        <f>+S148+S149+S150+S151+S152+S153-S154+S155-S156+S157</f>
        <v>0</v>
      </c>
      <c r="T158" s="11" t="s">
        <v>65</v>
      </c>
    </row>
    <row r="159" spans="2:20" ht="15.75" thickBot="1" x14ac:dyDescent="0.3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2:20" ht="15.75" thickBot="1" x14ac:dyDescent="0.3">
      <c r="B160" s="22">
        <v>107</v>
      </c>
      <c r="C160" s="483" t="s">
        <v>194</v>
      </c>
      <c r="D160" s="483"/>
      <c r="E160" s="483"/>
      <c r="F160" s="483"/>
      <c r="G160" s="483"/>
      <c r="H160" s="483"/>
      <c r="I160" s="23">
        <v>507</v>
      </c>
      <c r="J160" s="502">
        <f>IF(S146-S158&lt;0,S158-S146,0)</f>
        <v>0</v>
      </c>
      <c r="K160" s="502"/>
      <c r="L160" s="502"/>
      <c r="M160" s="502"/>
      <c r="N160" s="483" t="s">
        <v>195</v>
      </c>
      <c r="O160" s="483"/>
      <c r="P160" s="483"/>
      <c r="Q160" s="483"/>
      <c r="R160" s="23">
        <v>506</v>
      </c>
      <c r="S160" s="28">
        <f>IF(S146-S158&gt;0,S146-S158,0)</f>
        <v>0</v>
      </c>
      <c r="T160" s="25" t="s">
        <v>44</v>
      </c>
    </row>
    <row r="161" spans="2:20" ht="15.75" thickBot="1" x14ac:dyDescent="0.3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2:20" x14ac:dyDescent="0.25">
      <c r="B162" s="484" t="s">
        <v>196</v>
      </c>
      <c r="C162" s="485"/>
      <c r="D162" s="485"/>
      <c r="E162" s="485"/>
      <c r="F162" s="485"/>
      <c r="G162" s="485"/>
      <c r="H162" s="485"/>
      <c r="I162" s="485"/>
      <c r="J162" s="485"/>
      <c r="K162" s="485"/>
      <c r="L162" s="485"/>
      <c r="M162" s="485"/>
      <c r="N162" s="485"/>
      <c r="O162" s="485"/>
      <c r="P162" s="485"/>
      <c r="Q162" s="485"/>
      <c r="R162" s="485"/>
      <c r="S162" s="485"/>
      <c r="T162" s="46"/>
    </row>
    <row r="163" spans="2:20" x14ac:dyDescent="0.25">
      <c r="B163" s="503" t="s">
        <v>197</v>
      </c>
      <c r="C163" s="504"/>
      <c r="D163" s="504"/>
      <c r="E163" s="504"/>
      <c r="F163" s="504"/>
      <c r="G163" s="504"/>
      <c r="H163" s="504"/>
      <c r="I163" s="504"/>
      <c r="J163" s="504"/>
      <c r="K163" s="504"/>
      <c r="L163" s="504"/>
      <c r="M163" s="504"/>
      <c r="N163" s="504"/>
      <c r="O163" s="504"/>
      <c r="P163" s="504"/>
      <c r="Q163" s="504"/>
      <c r="R163" s="504"/>
      <c r="S163" s="504"/>
      <c r="T163" s="505"/>
    </row>
    <row r="164" spans="2:20" x14ac:dyDescent="0.25">
      <c r="B164" s="49">
        <v>108</v>
      </c>
      <c r="C164" s="471" t="s">
        <v>198</v>
      </c>
      <c r="D164" s="471"/>
      <c r="E164" s="471"/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P164" s="471"/>
      <c r="Q164" s="471"/>
      <c r="R164" s="125">
        <v>556</v>
      </c>
      <c r="S164" s="127"/>
      <c r="T164" s="48" t="s">
        <v>44</v>
      </c>
    </row>
    <row r="165" spans="2:20" x14ac:dyDescent="0.25">
      <c r="B165" s="49">
        <v>109</v>
      </c>
      <c r="C165" s="471" t="s">
        <v>199</v>
      </c>
      <c r="D165" s="471"/>
      <c r="E165" s="471"/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P165" s="471"/>
      <c r="Q165" s="471"/>
      <c r="R165" s="125">
        <v>557</v>
      </c>
      <c r="S165" s="127"/>
      <c r="T165" s="48" t="s">
        <v>44</v>
      </c>
    </row>
    <row r="166" spans="2:20" x14ac:dyDescent="0.25">
      <c r="B166" s="49">
        <v>110</v>
      </c>
      <c r="C166" s="471" t="s">
        <v>200</v>
      </c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P166" s="471"/>
      <c r="Q166" s="471"/>
      <c r="R166" s="125">
        <v>558</v>
      </c>
      <c r="S166" s="127"/>
      <c r="T166" s="48" t="s">
        <v>51</v>
      </c>
    </row>
    <row r="167" spans="2:20" x14ac:dyDescent="0.25">
      <c r="B167" s="49">
        <v>111</v>
      </c>
      <c r="C167" s="471" t="s">
        <v>201</v>
      </c>
      <c r="D167" s="471"/>
      <c r="E167" s="471"/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P167" s="471"/>
      <c r="Q167" s="471"/>
      <c r="R167" s="125">
        <v>543</v>
      </c>
      <c r="S167" s="134">
        <f>+S164+S165-S166</f>
        <v>0</v>
      </c>
      <c r="T167" s="48" t="s">
        <v>65</v>
      </c>
    </row>
    <row r="168" spans="2:20" ht="15.75" thickBot="1" x14ac:dyDescent="0.3">
      <c r="B168" s="14">
        <v>112</v>
      </c>
      <c r="C168" s="472" t="s">
        <v>202</v>
      </c>
      <c r="D168" s="472"/>
      <c r="E168" s="472"/>
      <c r="F168" s="472"/>
      <c r="G168" s="472"/>
      <c r="H168" s="472"/>
      <c r="I168" s="15">
        <v>573</v>
      </c>
      <c r="J168" s="584">
        <f>IF(S80&lt;S167,S167-S168,0)</f>
        <v>0</v>
      </c>
      <c r="K168" s="584"/>
      <c r="L168" s="584"/>
      <c r="M168" s="584"/>
      <c r="N168" s="472" t="s">
        <v>203</v>
      </c>
      <c r="O168" s="472"/>
      <c r="P168" s="472"/>
      <c r="Q168" s="472"/>
      <c r="R168" s="15">
        <v>598</v>
      </c>
      <c r="S168" s="53">
        <f>IF(S167&gt;S80,S80,S167)</f>
        <v>0</v>
      </c>
      <c r="T168" s="48" t="s">
        <v>51</v>
      </c>
    </row>
    <row r="169" spans="2:20" ht="15.75" thickBot="1" x14ac:dyDescent="0.3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2:20" x14ac:dyDescent="0.25">
      <c r="B170" s="484" t="s">
        <v>204</v>
      </c>
      <c r="C170" s="485"/>
      <c r="D170" s="485"/>
      <c r="E170" s="485"/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P170" s="485"/>
      <c r="Q170" s="485"/>
      <c r="R170" s="485"/>
      <c r="S170" s="485"/>
      <c r="T170" s="498"/>
    </row>
    <row r="171" spans="2:20" x14ac:dyDescent="0.25">
      <c r="B171" s="49">
        <v>113</v>
      </c>
      <c r="C171" s="471" t="s">
        <v>205</v>
      </c>
      <c r="D171" s="471"/>
      <c r="E171" s="471"/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P171" s="471"/>
      <c r="Q171" s="471"/>
      <c r="R171" s="125">
        <v>39</v>
      </c>
      <c r="S171" s="141"/>
      <c r="T171" s="140" t="s">
        <v>44</v>
      </c>
    </row>
    <row r="172" spans="2:20" x14ac:dyDescent="0.25">
      <c r="B172" s="49">
        <v>114</v>
      </c>
      <c r="C172" s="471" t="s">
        <v>206</v>
      </c>
      <c r="D172" s="471"/>
      <c r="E172" s="471"/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P172" s="471"/>
      <c r="Q172" s="471"/>
      <c r="R172" s="125">
        <v>554</v>
      </c>
      <c r="S172" s="141"/>
      <c r="T172" s="140" t="s">
        <v>44</v>
      </c>
    </row>
    <row r="173" spans="2:20" x14ac:dyDescent="0.25">
      <c r="B173" s="49">
        <v>115</v>
      </c>
      <c r="C173" s="471" t="s">
        <v>207</v>
      </c>
      <c r="D173" s="471"/>
      <c r="E173" s="471"/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P173" s="471"/>
      <c r="Q173" s="471"/>
      <c r="R173" s="125">
        <v>736</v>
      </c>
      <c r="S173" s="141"/>
      <c r="T173" s="140" t="s">
        <v>51</v>
      </c>
    </row>
    <row r="174" spans="2:20" x14ac:dyDescent="0.25">
      <c r="B174" s="49">
        <v>116</v>
      </c>
      <c r="C174" s="471" t="s">
        <v>208</v>
      </c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P174" s="471"/>
      <c r="Q174" s="471"/>
      <c r="R174" s="125">
        <v>597</v>
      </c>
      <c r="S174" s="141"/>
      <c r="T174" s="140" t="s">
        <v>44</v>
      </c>
    </row>
    <row r="175" spans="2:20" ht="15.75" thickBot="1" x14ac:dyDescent="0.3">
      <c r="B175" s="10">
        <v>117</v>
      </c>
      <c r="C175" s="470" t="s">
        <v>209</v>
      </c>
      <c r="D175" s="470"/>
      <c r="E175" s="470"/>
      <c r="F175" s="470"/>
      <c r="G175" s="470"/>
      <c r="H175" s="470"/>
      <c r="I175" s="52">
        <v>555</v>
      </c>
      <c r="J175" s="499"/>
      <c r="K175" s="499"/>
      <c r="L175" s="499"/>
      <c r="M175" s="29" t="s">
        <v>44</v>
      </c>
      <c r="N175" s="500" t="s">
        <v>210</v>
      </c>
      <c r="O175" s="500"/>
      <c r="P175" s="500"/>
      <c r="Q175" s="500"/>
      <c r="R175" s="52">
        <v>596</v>
      </c>
      <c r="S175" s="12">
        <f>+S171+S172-S173+S174+J175</f>
        <v>0</v>
      </c>
      <c r="T175" s="11" t="s">
        <v>44</v>
      </c>
    </row>
    <row r="176" spans="2:20" ht="15.75" thickBot="1" x14ac:dyDescent="0.3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2:20" x14ac:dyDescent="0.25">
      <c r="B177" s="484" t="s">
        <v>211</v>
      </c>
      <c r="C177" s="485"/>
      <c r="D177" s="485"/>
      <c r="E177" s="485"/>
      <c r="F177" s="485"/>
      <c r="G177" s="485"/>
      <c r="H177" s="485"/>
      <c r="I177" s="485"/>
      <c r="J177" s="485"/>
      <c r="K177" s="485"/>
      <c r="L177" s="485"/>
      <c r="M177" s="485"/>
      <c r="N177" s="485"/>
      <c r="O177" s="485"/>
      <c r="P177" s="485"/>
      <c r="Q177" s="485"/>
      <c r="R177" s="485"/>
      <c r="S177" s="485"/>
      <c r="T177" s="46"/>
    </row>
    <row r="178" spans="2:20" x14ac:dyDescent="0.25">
      <c r="B178" s="49">
        <v>118</v>
      </c>
      <c r="C178" s="471" t="s">
        <v>212</v>
      </c>
      <c r="D178" s="471"/>
      <c r="E178" s="471"/>
      <c r="F178" s="471"/>
      <c r="G178" s="125">
        <v>725</v>
      </c>
      <c r="H178" s="129"/>
      <c r="I178" s="471" t="s">
        <v>213</v>
      </c>
      <c r="J178" s="471"/>
      <c r="K178" s="471"/>
      <c r="L178" s="125">
        <v>737</v>
      </c>
      <c r="M178" s="495"/>
      <c r="N178" s="496"/>
      <c r="O178" s="497"/>
      <c r="P178" s="471" t="s">
        <v>214</v>
      </c>
      <c r="Q178" s="471"/>
      <c r="R178" s="125">
        <v>727</v>
      </c>
      <c r="S178" s="134">
        <f>+H178+M178</f>
        <v>0</v>
      </c>
      <c r="T178" s="48" t="s">
        <v>51</v>
      </c>
    </row>
    <row r="179" spans="2:20" x14ac:dyDescent="0.25">
      <c r="B179" s="49">
        <v>119</v>
      </c>
      <c r="C179" s="471" t="s">
        <v>215</v>
      </c>
      <c r="D179" s="471"/>
      <c r="E179" s="471"/>
      <c r="F179" s="471"/>
      <c r="G179" s="125">
        <v>704</v>
      </c>
      <c r="H179" s="129"/>
      <c r="I179" s="471" t="s">
        <v>213</v>
      </c>
      <c r="J179" s="471"/>
      <c r="K179" s="471"/>
      <c r="L179" s="125">
        <v>705</v>
      </c>
      <c r="M179" s="495"/>
      <c r="N179" s="496"/>
      <c r="O179" s="497"/>
      <c r="P179" s="471" t="s">
        <v>214</v>
      </c>
      <c r="Q179" s="471"/>
      <c r="R179" s="125">
        <v>706</v>
      </c>
      <c r="S179" s="134">
        <f t="shared" ref="S179:S183" si="0">+H179+M179</f>
        <v>0</v>
      </c>
      <c r="T179" s="48" t="s">
        <v>51</v>
      </c>
    </row>
    <row r="180" spans="2:20" x14ac:dyDescent="0.25">
      <c r="B180" s="49">
        <v>120</v>
      </c>
      <c r="C180" s="471" t="s">
        <v>216</v>
      </c>
      <c r="D180" s="471"/>
      <c r="E180" s="471"/>
      <c r="F180" s="471"/>
      <c r="G180" s="125">
        <v>160</v>
      </c>
      <c r="H180" s="129"/>
      <c r="I180" s="471" t="s">
        <v>213</v>
      </c>
      <c r="J180" s="471"/>
      <c r="K180" s="471"/>
      <c r="L180" s="125">
        <v>161</v>
      </c>
      <c r="M180" s="495"/>
      <c r="N180" s="496"/>
      <c r="O180" s="497"/>
      <c r="P180" s="471" t="s">
        <v>214</v>
      </c>
      <c r="Q180" s="471"/>
      <c r="R180" s="125">
        <v>570</v>
      </c>
      <c r="S180" s="134">
        <f t="shared" si="0"/>
        <v>0</v>
      </c>
      <c r="T180" s="48" t="s">
        <v>51</v>
      </c>
    </row>
    <row r="181" spans="2:20" x14ac:dyDescent="0.25">
      <c r="B181" s="49">
        <v>121</v>
      </c>
      <c r="C181" s="471" t="s">
        <v>217</v>
      </c>
      <c r="D181" s="471"/>
      <c r="E181" s="471"/>
      <c r="F181" s="471"/>
      <c r="G181" s="125">
        <v>126</v>
      </c>
      <c r="H181" s="129"/>
      <c r="I181" s="471" t="s">
        <v>213</v>
      </c>
      <c r="J181" s="471"/>
      <c r="K181" s="471"/>
      <c r="L181" s="125">
        <v>128</v>
      </c>
      <c r="M181" s="495"/>
      <c r="N181" s="496"/>
      <c r="O181" s="497"/>
      <c r="P181" s="471" t="s">
        <v>214</v>
      </c>
      <c r="Q181" s="471"/>
      <c r="R181" s="125">
        <v>571</v>
      </c>
      <c r="S181" s="134">
        <f t="shared" si="0"/>
        <v>0</v>
      </c>
      <c r="T181" s="48" t="s">
        <v>51</v>
      </c>
    </row>
    <row r="182" spans="2:20" x14ac:dyDescent="0.25">
      <c r="B182" s="49">
        <v>122</v>
      </c>
      <c r="C182" s="471" t="s">
        <v>218</v>
      </c>
      <c r="D182" s="471"/>
      <c r="E182" s="471"/>
      <c r="F182" s="471"/>
      <c r="G182" s="125">
        <v>572</v>
      </c>
      <c r="H182" s="129"/>
      <c r="I182" s="471" t="s">
        <v>213</v>
      </c>
      <c r="J182" s="471"/>
      <c r="K182" s="471"/>
      <c r="L182" s="125">
        <v>568</v>
      </c>
      <c r="M182" s="489"/>
      <c r="N182" s="490"/>
      <c r="O182" s="491"/>
      <c r="P182" s="471" t="s">
        <v>214</v>
      </c>
      <c r="Q182" s="471"/>
      <c r="R182" s="125">
        <v>590</v>
      </c>
      <c r="S182" s="134">
        <f t="shared" si="0"/>
        <v>0</v>
      </c>
      <c r="T182" s="48" t="s">
        <v>51</v>
      </c>
    </row>
    <row r="183" spans="2:20" ht="15.75" thickBot="1" x14ac:dyDescent="0.3">
      <c r="B183" s="51">
        <v>123</v>
      </c>
      <c r="C183" s="472" t="s">
        <v>219</v>
      </c>
      <c r="D183" s="472"/>
      <c r="E183" s="472"/>
      <c r="F183" s="472"/>
      <c r="G183" s="15">
        <v>768</v>
      </c>
      <c r="H183" s="30"/>
      <c r="I183" s="472" t="s">
        <v>213</v>
      </c>
      <c r="J183" s="472"/>
      <c r="K183" s="472"/>
      <c r="L183" s="15">
        <v>769</v>
      </c>
      <c r="M183" s="492"/>
      <c r="N183" s="493"/>
      <c r="O183" s="494"/>
      <c r="P183" s="472" t="s">
        <v>214</v>
      </c>
      <c r="Q183" s="472"/>
      <c r="R183" s="15">
        <v>770</v>
      </c>
      <c r="S183" s="134">
        <f t="shared" si="0"/>
        <v>0</v>
      </c>
      <c r="T183" s="17" t="s">
        <v>51</v>
      </c>
    </row>
    <row r="184" spans="2:20" x14ac:dyDescent="0.25">
      <c r="B184" s="3"/>
      <c r="C184" s="31"/>
      <c r="D184" s="31"/>
      <c r="E184" s="31"/>
      <c r="F184" s="31"/>
      <c r="G184" s="3"/>
      <c r="H184" s="32"/>
      <c r="I184" s="31"/>
      <c r="J184" s="31"/>
      <c r="K184" s="31"/>
      <c r="L184" s="3"/>
      <c r="M184" s="32"/>
      <c r="N184" s="32"/>
      <c r="O184" s="32"/>
      <c r="P184" s="31"/>
      <c r="Q184" s="31"/>
      <c r="R184" s="3"/>
      <c r="S184" s="33">
        <f>+S124+S134+S160+S168+S175-S178-S179-S180-S181-S183</f>
        <v>0</v>
      </c>
      <c r="T184" s="3"/>
    </row>
    <row r="185" spans="2:20" ht="15.75" thickBot="1" x14ac:dyDescent="0.3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33">
        <f>+S118+S184</f>
        <v>0</v>
      </c>
      <c r="T185" s="9"/>
    </row>
    <row r="186" spans="2:20" ht="15.75" thickBot="1" x14ac:dyDescent="0.3">
      <c r="B186" s="22">
        <v>124</v>
      </c>
      <c r="C186" s="483" t="s">
        <v>220</v>
      </c>
      <c r="D186" s="483"/>
      <c r="E186" s="483"/>
      <c r="F186" s="483"/>
      <c r="G186" s="483"/>
      <c r="H186" s="483"/>
      <c r="I186" s="483"/>
      <c r="J186" s="483"/>
      <c r="K186" s="483"/>
      <c r="L186" s="483"/>
      <c r="M186" s="483"/>
      <c r="N186" s="483"/>
      <c r="O186" s="483"/>
      <c r="P186" s="483"/>
      <c r="Q186" s="483"/>
      <c r="R186" s="23">
        <v>547</v>
      </c>
      <c r="S186" s="34">
        <f>IF(S184=0,0,IF(S185&gt;0,S185,-(S185)))</f>
        <v>0</v>
      </c>
      <c r="T186" s="25" t="s">
        <v>65</v>
      </c>
    </row>
    <row r="187" spans="2:20" ht="15.75" thickBot="1" x14ac:dyDescent="0.3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2:20" x14ac:dyDescent="0.25">
      <c r="B188" s="484" t="s">
        <v>221</v>
      </c>
      <c r="C188" s="485"/>
      <c r="D188" s="485"/>
      <c r="E188" s="485"/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P188" s="485"/>
      <c r="Q188" s="485"/>
      <c r="R188" s="485"/>
      <c r="S188" s="485"/>
      <c r="T188" s="46"/>
    </row>
    <row r="189" spans="2:20" x14ac:dyDescent="0.25">
      <c r="B189" s="49">
        <v>125</v>
      </c>
      <c r="C189" s="471" t="s">
        <v>222</v>
      </c>
      <c r="D189" s="471"/>
      <c r="E189" s="471"/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P189" s="471"/>
      <c r="Q189" s="471"/>
      <c r="R189" s="125">
        <v>728</v>
      </c>
      <c r="S189" s="127"/>
      <c r="T189" s="48"/>
    </row>
    <row r="190" spans="2:20" x14ac:dyDescent="0.25">
      <c r="B190" s="49">
        <v>126</v>
      </c>
      <c r="C190" s="471" t="s">
        <v>223</v>
      </c>
      <c r="D190" s="471"/>
      <c r="E190" s="471"/>
      <c r="F190" s="471"/>
      <c r="G190" s="471"/>
      <c r="H190" s="471"/>
      <c r="I190" s="471"/>
      <c r="J190" s="471"/>
      <c r="K190" s="471"/>
      <c r="L190" s="471"/>
      <c r="M190" s="471"/>
      <c r="N190" s="471"/>
      <c r="O190" s="471"/>
      <c r="P190" s="471"/>
      <c r="Q190" s="471"/>
      <c r="R190" s="125">
        <v>707</v>
      </c>
      <c r="S190" s="127"/>
      <c r="T190" s="48"/>
    </row>
    <row r="191" spans="2:20" x14ac:dyDescent="0.25">
      <c r="B191" s="49">
        <v>127</v>
      </c>
      <c r="C191" s="471" t="s">
        <v>224</v>
      </c>
      <c r="D191" s="471"/>
      <c r="E191" s="471"/>
      <c r="F191" s="471"/>
      <c r="G191" s="471"/>
      <c r="H191" s="471"/>
      <c r="I191" s="471"/>
      <c r="J191" s="471"/>
      <c r="K191" s="471"/>
      <c r="L191" s="471"/>
      <c r="M191" s="471"/>
      <c r="N191" s="471"/>
      <c r="O191" s="471"/>
      <c r="P191" s="471"/>
      <c r="Q191" s="471"/>
      <c r="R191" s="125">
        <v>73</v>
      </c>
      <c r="S191" s="127"/>
      <c r="T191" s="48"/>
    </row>
    <row r="192" spans="2:20" x14ac:dyDescent="0.25">
      <c r="B192" s="49">
        <v>128</v>
      </c>
      <c r="C192" s="471" t="s">
        <v>225</v>
      </c>
      <c r="D192" s="471"/>
      <c r="E192" s="471"/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P192" s="471"/>
      <c r="Q192" s="471"/>
      <c r="R192" s="125">
        <v>130</v>
      </c>
      <c r="S192" s="127"/>
      <c r="T192" s="48"/>
    </row>
    <row r="193" spans="2:20" x14ac:dyDescent="0.25">
      <c r="B193" s="49">
        <v>129</v>
      </c>
      <c r="C193" s="471" t="s">
        <v>226</v>
      </c>
      <c r="D193" s="471"/>
      <c r="E193" s="471"/>
      <c r="F193" s="471"/>
      <c r="G193" s="471"/>
      <c r="H193" s="471"/>
      <c r="I193" s="471"/>
      <c r="J193" s="471"/>
      <c r="K193" s="471"/>
      <c r="L193" s="471"/>
      <c r="M193" s="471"/>
      <c r="N193" s="471"/>
      <c r="O193" s="471"/>
      <c r="P193" s="471"/>
      <c r="Q193" s="471"/>
      <c r="R193" s="125">
        <v>591</v>
      </c>
      <c r="S193" s="127"/>
      <c r="T193" s="48"/>
    </row>
    <row r="194" spans="2:20" ht="15.75" thickBot="1" x14ac:dyDescent="0.3">
      <c r="B194" s="14">
        <v>130</v>
      </c>
      <c r="C194" s="472" t="s">
        <v>227</v>
      </c>
      <c r="D194" s="472"/>
      <c r="E194" s="472"/>
      <c r="F194" s="472"/>
      <c r="G194" s="472"/>
      <c r="H194" s="472"/>
      <c r="I194" s="472"/>
      <c r="J194" s="472"/>
      <c r="K194" s="472"/>
      <c r="L194" s="472"/>
      <c r="M194" s="472"/>
      <c r="N194" s="472"/>
      <c r="O194" s="472"/>
      <c r="P194" s="472"/>
      <c r="Q194" s="472"/>
      <c r="R194" s="15">
        <v>771</v>
      </c>
      <c r="S194" s="21"/>
      <c r="T194" s="17"/>
    </row>
    <row r="195" spans="2:20" ht="15.75" thickBot="1" x14ac:dyDescent="0.3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2:20" x14ac:dyDescent="0.25">
      <c r="B196" s="18">
        <v>131</v>
      </c>
      <c r="C196" s="473" t="s">
        <v>228</v>
      </c>
      <c r="D196" s="473"/>
      <c r="E196" s="473"/>
      <c r="F196" s="473"/>
      <c r="G196" s="473"/>
      <c r="H196" s="473"/>
      <c r="I196" s="473"/>
      <c r="J196" s="473"/>
      <c r="K196" s="473"/>
      <c r="L196" s="473"/>
      <c r="M196" s="473"/>
      <c r="N196" s="473"/>
      <c r="O196" s="473"/>
      <c r="P196" s="473"/>
      <c r="Q196" s="473"/>
      <c r="R196" s="8">
        <v>91</v>
      </c>
      <c r="S196" s="35">
        <f>IF(S186&lt;0,0,IF(S186=0,S118,S186))</f>
        <v>0</v>
      </c>
      <c r="T196" s="20" t="s">
        <v>65</v>
      </c>
    </row>
    <row r="197" spans="2:20" x14ac:dyDescent="0.25">
      <c r="B197" s="49">
        <v>132</v>
      </c>
      <c r="C197" s="471" t="s">
        <v>229</v>
      </c>
      <c r="D197" s="471"/>
      <c r="E197" s="471"/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125">
        <v>92</v>
      </c>
      <c r="S197" s="134">
        <f>+Multas!D17</f>
        <v>0</v>
      </c>
      <c r="T197" s="48" t="s">
        <v>44</v>
      </c>
    </row>
    <row r="198" spans="2:20" x14ac:dyDescent="0.25">
      <c r="B198" s="49">
        <v>133</v>
      </c>
      <c r="C198" s="471" t="s">
        <v>230</v>
      </c>
      <c r="D198" s="471"/>
      <c r="E198" s="471"/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P198" s="471"/>
      <c r="Q198" s="471"/>
      <c r="R198" s="125">
        <v>93</v>
      </c>
      <c r="S198" s="134"/>
      <c r="T198" s="48" t="s">
        <v>44</v>
      </c>
    </row>
    <row r="199" spans="2:20" x14ac:dyDescent="0.25">
      <c r="B199" s="474"/>
      <c r="C199" s="476" t="s">
        <v>231</v>
      </c>
      <c r="D199" s="478" t="s">
        <v>232</v>
      </c>
      <c r="E199" s="479"/>
      <c r="F199" s="125">
        <v>922</v>
      </c>
      <c r="G199" s="478"/>
      <c r="H199" s="479"/>
      <c r="I199" s="478" t="s">
        <v>233</v>
      </c>
      <c r="J199" s="479"/>
      <c r="K199" s="125">
        <v>915</v>
      </c>
      <c r="L199" s="142"/>
      <c r="M199" s="478" t="s">
        <v>234</v>
      </c>
      <c r="N199" s="479"/>
      <c r="O199" s="125">
        <v>60</v>
      </c>
      <c r="P199" s="478"/>
      <c r="Q199" s="479"/>
      <c r="R199" s="486"/>
      <c r="S199" s="487"/>
      <c r="T199" s="488"/>
    </row>
    <row r="200" spans="2:20" x14ac:dyDescent="0.25">
      <c r="B200" s="475"/>
      <c r="C200" s="477"/>
      <c r="D200" s="480" t="s">
        <v>235</v>
      </c>
      <c r="E200" s="481"/>
      <c r="F200" s="481"/>
      <c r="G200" s="481"/>
      <c r="H200" s="481"/>
      <c r="I200" s="481"/>
      <c r="J200" s="481"/>
      <c r="K200" s="481"/>
      <c r="L200" s="481"/>
      <c r="M200" s="481"/>
      <c r="N200" s="481"/>
      <c r="O200" s="481"/>
      <c r="P200" s="481"/>
      <c r="Q200" s="482"/>
      <c r="R200" s="118">
        <v>795</v>
      </c>
      <c r="S200" s="134"/>
      <c r="T200" s="140" t="s">
        <v>51</v>
      </c>
    </row>
    <row r="201" spans="2:20" ht="15.75" thickBot="1" x14ac:dyDescent="0.3">
      <c r="B201" s="10">
        <v>134</v>
      </c>
      <c r="C201" s="470" t="s">
        <v>236</v>
      </c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52">
        <v>94</v>
      </c>
      <c r="S201" s="16">
        <f>IF(AND(S197=0,S198=0),0,S196+S197+S198-S200)</f>
        <v>0</v>
      </c>
      <c r="T201" s="17" t="s">
        <v>65</v>
      </c>
    </row>
    <row r="202" spans="2:20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x14ac:dyDescent="0.25">
      <c r="B203" s="3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</sheetData>
  <mergeCells count="341">
    <mergeCell ref="C7:H7"/>
    <mergeCell ref="J7:N7"/>
    <mergeCell ref="P7:T7"/>
    <mergeCell ref="B8:H8"/>
    <mergeCell ref="I8:N8"/>
    <mergeCell ref="O8:T8"/>
    <mergeCell ref="C3:E3"/>
    <mergeCell ref="I3:M3"/>
    <mergeCell ref="Q3:S3"/>
    <mergeCell ref="C4:C5"/>
    <mergeCell ref="I4:I5"/>
    <mergeCell ref="J4:M5"/>
    <mergeCell ref="Q4:Q5"/>
    <mergeCell ref="R4:S5"/>
    <mergeCell ref="C14:L14"/>
    <mergeCell ref="N14:Q14"/>
    <mergeCell ref="C15:L15"/>
    <mergeCell ref="N15:Q15"/>
    <mergeCell ref="C16:L16"/>
    <mergeCell ref="N16:Q16"/>
    <mergeCell ref="B10:S10"/>
    <mergeCell ref="B11:S11"/>
    <mergeCell ref="B12:S12"/>
    <mergeCell ref="B13:L13"/>
    <mergeCell ref="M13:Q13"/>
    <mergeCell ref="R13:T13"/>
    <mergeCell ref="R20:S20"/>
    <mergeCell ref="C21:L21"/>
    <mergeCell ref="N21:Q21"/>
    <mergeCell ref="C22:L22"/>
    <mergeCell ref="N22:Q22"/>
    <mergeCell ref="C23:L23"/>
    <mergeCell ref="N23:Q23"/>
    <mergeCell ref="C17:L17"/>
    <mergeCell ref="N17:Q17"/>
    <mergeCell ref="C18:L18"/>
    <mergeCell ref="N18:Q18"/>
    <mergeCell ref="C19:Q19"/>
    <mergeCell ref="B20:L20"/>
    <mergeCell ref="M20:Q20"/>
    <mergeCell ref="C27:L27"/>
    <mergeCell ref="N27:Q27"/>
    <mergeCell ref="C28:L28"/>
    <mergeCell ref="N28:Q28"/>
    <mergeCell ref="C29:L29"/>
    <mergeCell ref="N29:Q29"/>
    <mergeCell ref="C24:L24"/>
    <mergeCell ref="N24:Q24"/>
    <mergeCell ref="C25:L25"/>
    <mergeCell ref="N25:Q25"/>
    <mergeCell ref="C26:L26"/>
    <mergeCell ref="N26:Q26"/>
    <mergeCell ref="C34:Q34"/>
    <mergeCell ref="C35:E35"/>
    <mergeCell ref="K35:M35"/>
    <mergeCell ref="P35:Q35"/>
    <mergeCell ref="C36:Q36"/>
    <mergeCell ref="C37:Q37"/>
    <mergeCell ref="C30:L30"/>
    <mergeCell ref="N30:Q30"/>
    <mergeCell ref="C31:L31"/>
    <mergeCell ref="N31:Q31"/>
    <mergeCell ref="C32:Q32"/>
    <mergeCell ref="C33:Q33"/>
    <mergeCell ref="B43:S43"/>
    <mergeCell ref="B44:L44"/>
    <mergeCell ref="M44:Q44"/>
    <mergeCell ref="R44:T44"/>
    <mergeCell ref="C45:L45"/>
    <mergeCell ref="N45:Q45"/>
    <mergeCell ref="B39:S39"/>
    <mergeCell ref="B40:S40"/>
    <mergeCell ref="B41:L41"/>
    <mergeCell ref="M41:Q41"/>
    <mergeCell ref="R41:T41"/>
    <mergeCell ref="C42:L42"/>
    <mergeCell ref="N42:Q42"/>
    <mergeCell ref="B50:L50"/>
    <mergeCell ref="M50:Q50"/>
    <mergeCell ref="R50:T50"/>
    <mergeCell ref="C51:L51"/>
    <mergeCell ref="N51:Q51"/>
    <mergeCell ref="C52:L52"/>
    <mergeCell ref="N52:Q52"/>
    <mergeCell ref="C46:L46"/>
    <mergeCell ref="N46:Q46"/>
    <mergeCell ref="C47:L47"/>
    <mergeCell ref="N47:Q47"/>
    <mergeCell ref="B48:S48"/>
    <mergeCell ref="B49:S49"/>
    <mergeCell ref="C56:L56"/>
    <mergeCell ref="N56:Q56"/>
    <mergeCell ref="B57:S57"/>
    <mergeCell ref="C58:L58"/>
    <mergeCell ref="N58:Q58"/>
    <mergeCell ref="C59:L59"/>
    <mergeCell ref="N59:Q59"/>
    <mergeCell ref="C53:L53"/>
    <mergeCell ref="N53:Q53"/>
    <mergeCell ref="C54:L54"/>
    <mergeCell ref="N54:Q54"/>
    <mergeCell ref="C55:L55"/>
    <mergeCell ref="N55:Q55"/>
    <mergeCell ref="C66:Q66"/>
    <mergeCell ref="C67:Q67"/>
    <mergeCell ref="B68:S68"/>
    <mergeCell ref="B69:I69"/>
    <mergeCell ref="J69:M69"/>
    <mergeCell ref="N69:Q69"/>
    <mergeCell ref="R69:T69"/>
    <mergeCell ref="C60:Q60"/>
    <mergeCell ref="C61:Q61"/>
    <mergeCell ref="C62:Q62"/>
    <mergeCell ref="C63:Q63"/>
    <mergeCell ref="C64:Q64"/>
    <mergeCell ref="C65:Q65"/>
    <mergeCell ref="S70:S71"/>
    <mergeCell ref="T70:T71"/>
    <mergeCell ref="P71:Q71"/>
    <mergeCell ref="B72:B73"/>
    <mergeCell ref="C72:I73"/>
    <mergeCell ref="J72:J73"/>
    <mergeCell ref="K72:M73"/>
    <mergeCell ref="P72:Q72"/>
    <mergeCell ref="R72:R73"/>
    <mergeCell ref="S72:S73"/>
    <mergeCell ref="B70:B71"/>
    <mergeCell ref="C70:I71"/>
    <mergeCell ref="J70:J71"/>
    <mergeCell ref="K70:M71"/>
    <mergeCell ref="P70:Q70"/>
    <mergeCell ref="R70:R71"/>
    <mergeCell ref="B79:Q79"/>
    <mergeCell ref="R79:T79"/>
    <mergeCell ref="C80:E80"/>
    <mergeCell ref="G80:H80"/>
    <mergeCell ref="J80:K80"/>
    <mergeCell ref="N80:O80"/>
    <mergeCell ref="P80:Q80"/>
    <mergeCell ref="T72:T73"/>
    <mergeCell ref="P73:Q73"/>
    <mergeCell ref="C74:Q74"/>
    <mergeCell ref="C75:Q75"/>
    <mergeCell ref="C76:Q76"/>
    <mergeCell ref="C77:Q77"/>
    <mergeCell ref="B83:Q83"/>
    <mergeCell ref="R83:T83"/>
    <mergeCell ref="C84:E84"/>
    <mergeCell ref="G84:H84"/>
    <mergeCell ref="J84:K84"/>
    <mergeCell ref="N84:O84"/>
    <mergeCell ref="P84:Q84"/>
    <mergeCell ref="B81:Q81"/>
    <mergeCell ref="R81:T81"/>
    <mergeCell ref="C82:E82"/>
    <mergeCell ref="G82:H82"/>
    <mergeCell ref="J82:K82"/>
    <mergeCell ref="N82:O82"/>
    <mergeCell ref="P82:Q82"/>
    <mergeCell ref="C87:E87"/>
    <mergeCell ref="G87:H87"/>
    <mergeCell ref="I87:Q87"/>
    <mergeCell ref="C88:E88"/>
    <mergeCell ref="G88:H88"/>
    <mergeCell ref="I88:Q88"/>
    <mergeCell ref="C85:E85"/>
    <mergeCell ref="G85:H85"/>
    <mergeCell ref="I85:Q85"/>
    <mergeCell ref="C86:E86"/>
    <mergeCell ref="G86:H86"/>
    <mergeCell ref="I86:Q86"/>
    <mergeCell ref="C90:Q90"/>
    <mergeCell ref="C91:Q91"/>
    <mergeCell ref="B93:S93"/>
    <mergeCell ref="B94:S94"/>
    <mergeCell ref="C95:Q95"/>
    <mergeCell ref="B96:B97"/>
    <mergeCell ref="C96:F97"/>
    <mergeCell ref="G96:H97"/>
    <mergeCell ref="I96:I97"/>
    <mergeCell ref="J96:L96"/>
    <mergeCell ref="J97:L97"/>
    <mergeCell ref="N97:O97"/>
    <mergeCell ref="C98:Q98"/>
    <mergeCell ref="C99:Q99"/>
    <mergeCell ref="C100:Q100"/>
    <mergeCell ref="C101:Q101"/>
    <mergeCell ref="M96:M97"/>
    <mergeCell ref="N96:O96"/>
    <mergeCell ref="P96:Q97"/>
    <mergeCell ref="R107:T107"/>
    <mergeCell ref="D108:E108"/>
    <mergeCell ref="J108:L108"/>
    <mergeCell ref="P108:Q108"/>
    <mergeCell ref="R96:R97"/>
    <mergeCell ref="S96:S97"/>
    <mergeCell ref="T96:T97"/>
    <mergeCell ref="C109:F109"/>
    <mergeCell ref="J109:L109"/>
    <mergeCell ref="P109:Q109"/>
    <mergeCell ref="C102:Q102"/>
    <mergeCell ref="C103:Q103"/>
    <mergeCell ref="C104:Q104"/>
    <mergeCell ref="C105:Q105"/>
    <mergeCell ref="B106:S106"/>
    <mergeCell ref="D107:F107"/>
    <mergeCell ref="G107:H107"/>
    <mergeCell ref="I107:L107"/>
    <mergeCell ref="M107:N107"/>
    <mergeCell ref="O107:Q107"/>
    <mergeCell ref="C110:F110"/>
    <mergeCell ref="J110:L110"/>
    <mergeCell ref="P110:Q110"/>
    <mergeCell ref="C111:Q111"/>
    <mergeCell ref="B112:B113"/>
    <mergeCell ref="C112:F113"/>
    <mergeCell ref="G112:H112"/>
    <mergeCell ref="I112:L112"/>
    <mergeCell ref="M112:O112"/>
    <mergeCell ref="P112:T112"/>
    <mergeCell ref="C118:Q118"/>
    <mergeCell ref="B120:S120"/>
    <mergeCell ref="B121:Q121"/>
    <mergeCell ref="R121:T121"/>
    <mergeCell ref="C122:Q122"/>
    <mergeCell ref="C123:Q123"/>
    <mergeCell ref="J113:L113"/>
    <mergeCell ref="N113:O113"/>
    <mergeCell ref="P113:Q113"/>
    <mergeCell ref="C114:Q114"/>
    <mergeCell ref="C115:Q115"/>
    <mergeCell ref="C116:Q116"/>
    <mergeCell ref="C131:Q131"/>
    <mergeCell ref="C132:Q132"/>
    <mergeCell ref="C133:Q133"/>
    <mergeCell ref="C134:H134"/>
    <mergeCell ref="J134:L134"/>
    <mergeCell ref="M134:Q134"/>
    <mergeCell ref="C124:Q124"/>
    <mergeCell ref="B126:S126"/>
    <mergeCell ref="C127:Q127"/>
    <mergeCell ref="C128:Q128"/>
    <mergeCell ref="C129:Q129"/>
    <mergeCell ref="C130:Q130"/>
    <mergeCell ref="C141:Q141"/>
    <mergeCell ref="C142:Q142"/>
    <mergeCell ref="C143:Q143"/>
    <mergeCell ref="C144:Q144"/>
    <mergeCell ref="C145:Q145"/>
    <mergeCell ref="C146:Q146"/>
    <mergeCell ref="B136:S136"/>
    <mergeCell ref="B137:Q137"/>
    <mergeCell ref="R137:T137"/>
    <mergeCell ref="C138:Q138"/>
    <mergeCell ref="C139:Q139"/>
    <mergeCell ref="C140:Q140"/>
    <mergeCell ref="C150:L150"/>
    <mergeCell ref="N150:P150"/>
    <mergeCell ref="C151:L151"/>
    <mergeCell ref="N151:P151"/>
    <mergeCell ref="C152:L152"/>
    <mergeCell ref="N152:P152"/>
    <mergeCell ref="B147:L147"/>
    <mergeCell ref="M147:Q147"/>
    <mergeCell ref="R147:T147"/>
    <mergeCell ref="C148:L148"/>
    <mergeCell ref="N148:P148"/>
    <mergeCell ref="C149:L149"/>
    <mergeCell ref="N149:P149"/>
    <mergeCell ref="C160:H160"/>
    <mergeCell ref="J160:M160"/>
    <mergeCell ref="N160:Q160"/>
    <mergeCell ref="B162:S162"/>
    <mergeCell ref="B163:T163"/>
    <mergeCell ref="C164:Q164"/>
    <mergeCell ref="C153:Q153"/>
    <mergeCell ref="C154:Q154"/>
    <mergeCell ref="C155:Q155"/>
    <mergeCell ref="C156:Q156"/>
    <mergeCell ref="C157:Q157"/>
    <mergeCell ref="C158:Q158"/>
    <mergeCell ref="B170:T170"/>
    <mergeCell ref="C171:Q171"/>
    <mergeCell ref="C172:Q172"/>
    <mergeCell ref="C173:Q173"/>
    <mergeCell ref="C174:Q174"/>
    <mergeCell ref="C175:H175"/>
    <mergeCell ref="J175:L175"/>
    <mergeCell ref="N175:Q175"/>
    <mergeCell ref="C165:Q165"/>
    <mergeCell ref="C166:Q166"/>
    <mergeCell ref="C167:Q167"/>
    <mergeCell ref="C168:H168"/>
    <mergeCell ref="J168:M168"/>
    <mergeCell ref="N168:Q168"/>
    <mergeCell ref="B177:S177"/>
    <mergeCell ref="C178:F178"/>
    <mergeCell ref="I178:K178"/>
    <mergeCell ref="M178:O178"/>
    <mergeCell ref="P178:Q178"/>
    <mergeCell ref="C179:F179"/>
    <mergeCell ref="I179:K179"/>
    <mergeCell ref="M179:O179"/>
    <mergeCell ref="P179:Q179"/>
    <mergeCell ref="C182:F182"/>
    <mergeCell ref="I182:K182"/>
    <mergeCell ref="M182:O182"/>
    <mergeCell ref="P182:Q182"/>
    <mergeCell ref="C183:F183"/>
    <mergeCell ref="I183:K183"/>
    <mergeCell ref="M183:O183"/>
    <mergeCell ref="P183:Q183"/>
    <mergeCell ref="C180:F180"/>
    <mergeCell ref="I180:K180"/>
    <mergeCell ref="M180:O180"/>
    <mergeCell ref="P180:Q180"/>
    <mergeCell ref="C181:F181"/>
    <mergeCell ref="I181:K181"/>
    <mergeCell ref="M181:O181"/>
    <mergeCell ref="P181:Q181"/>
    <mergeCell ref="C186:Q186"/>
    <mergeCell ref="B188:S188"/>
    <mergeCell ref="C189:Q189"/>
    <mergeCell ref="C190:Q190"/>
    <mergeCell ref="C191:Q191"/>
    <mergeCell ref="C192:Q192"/>
    <mergeCell ref="M199:N199"/>
    <mergeCell ref="P199:Q199"/>
    <mergeCell ref="R199:T199"/>
    <mergeCell ref="C201:Q201"/>
    <mergeCell ref="C193:Q193"/>
    <mergeCell ref="C194:Q194"/>
    <mergeCell ref="C196:Q196"/>
    <mergeCell ref="C197:Q197"/>
    <mergeCell ref="C198:Q198"/>
    <mergeCell ref="B199:B200"/>
    <mergeCell ref="C199:C200"/>
    <mergeCell ref="D199:E199"/>
    <mergeCell ref="G199:H199"/>
    <mergeCell ref="I199:J199"/>
    <mergeCell ref="D200:Q200"/>
  </mergeCells>
  <pageMargins left="0.7" right="0.7" top="0.75" bottom="0.75" header="0.3" footer="0.3"/>
  <pageSetup scale="4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08F9-CA36-40E1-9458-11F59D60F9D2}">
  <dimension ref="A8:Q110"/>
  <sheetViews>
    <sheetView showGridLines="0" topLeftCell="A7" zoomScale="80" zoomScaleNormal="80" workbookViewId="0">
      <selection activeCell="S39" sqref="S39"/>
    </sheetView>
  </sheetViews>
  <sheetFormatPr baseColWidth="10" defaultColWidth="11.28515625" defaultRowHeight="15" x14ac:dyDescent="0.25"/>
  <cols>
    <col min="1" max="1" width="29.5703125" style="211" bestFit="1" customWidth="1"/>
    <col min="2" max="2" width="14.140625" style="207" bestFit="1" customWidth="1"/>
    <col min="3" max="3" width="14.140625" style="211" bestFit="1" customWidth="1"/>
    <col min="4" max="4" width="7.5703125" style="1" customWidth="1"/>
    <col min="5" max="5" width="11.140625" style="1" bestFit="1" customWidth="1"/>
    <col min="6" max="6" width="13.140625" style="1" customWidth="1"/>
    <col min="7" max="7" width="14.42578125" style="1" bestFit="1" customWidth="1"/>
    <col min="8" max="8" width="17" style="1" bestFit="1" customWidth="1"/>
    <col min="9" max="12" width="11.28515625" style="1"/>
    <col min="13" max="13" width="8.42578125" style="1" bestFit="1" customWidth="1"/>
    <col min="14" max="14" width="22.28515625" style="1" bestFit="1" customWidth="1"/>
    <col min="15" max="15" width="14.140625" style="1" bestFit="1" customWidth="1"/>
    <col min="16" max="16" width="12.28515625" style="1" bestFit="1" customWidth="1"/>
    <col min="17" max="17" width="15" style="1" customWidth="1"/>
    <col min="18" max="16384" width="11.28515625" style="1"/>
  </cols>
  <sheetData>
    <row r="8" spans="1:8" ht="20.25" customHeight="1" x14ac:dyDescent="0.3">
      <c r="A8" s="591" t="s">
        <v>511</v>
      </c>
      <c r="B8" s="591"/>
      <c r="C8" s="591"/>
      <c r="D8" s="591"/>
      <c r="E8" s="591"/>
      <c r="F8" s="591"/>
      <c r="G8" s="591"/>
    </row>
    <row r="9" spans="1:8" ht="15" customHeight="1" x14ac:dyDescent="0.25">
      <c r="A9" s="319"/>
      <c r="B9" s="319"/>
      <c r="C9" s="319"/>
      <c r="D9" s="319"/>
      <c r="E9" s="319"/>
      <c r="F9" s="319"/>
      <c r="G9" s="319"/>
    </row>
    <row r="11" spans="1:8" ht="15.75" thickBot="1" x14ac:dyDescent="0.3"/>
    <row r="12" spans="1:8" x14ac:dyDescent="0.25">
      <c r="A12" s="594">
        <v>2024</v>
      </c>
      <c r="B12" s="596" t="s">
        <v>387</v>
      </c>
      <c r="C12" s="596" t="s">
        <v>388</v>
      </c>
    </row>
    <row r="13" spans="1:8" ht="15.75" thickBot="1" x14ac:dyDescent="0.3">
      <c r="A13" s="595"/>
      <c r="B13" s="597"/>
      <c r="C13" s="597"/>
      <c r="E13" s="592" t="s">
        <v>522</v>
      </c>
      <c r="F13" s="593"/>
      <c r="G13" s="249" t="s">
        <v>515</v>
      </c>
      <c r="H13" s="250" t="s">
        <v>523</v>
      </c>
    </row>
    <row r="14" spans="1:8" ht="15.75" thickBot="1" x14ac:dyDescent="0.3">
      <c r="A14" s="320" t="s">
        <v>266</v>
      </c>
      <c r="B14" s="321">
        <v>64666</v>
      </c>
      <c r="C14" s="321">
        <v>741228</v>
      </c>
      <c r="E14" s="69">
        <v>0</v>
      </c>
      <c r="F14" s="1">
        <v>3</v>
      </c>
      <c r="G14" s="1" t="s">
        <v>516</v>
      </c>
      <c r="H14" s="322">
        <v>0.6</v>
      </c>
    </row>
    <row r="15" spans="1:8" ht="15.75" thickBot="1" x14ac:dyDescent="0.3">
      <c r="A15" s="320" t="s">
        <v>267</v>
      </c>
      <c r="B15" s="321">
        <v>64343</v>
      </c>
      <c r="C15" s="321">
        <v>743448</v>
      </c>
      <c r="E15" s="69">
        <f>+F14</f>
        <v>3</v>
      </c>
      <c r="F15" s="1">
        <v>5</v>
      </c>
      <c r="G15" s="1" t="s">
        <v>517</v>
      </c>
      <c r="H15" s="322">
        <v>1</v>
      </c>
    </row>
    <row r="16" spans="1:8" ht="15.75" thickBot="1" x14ac:dyDescent="0.3">
      <c r="A16" s="320" t="s">
        <v>268</v>
      </c>
      <c r="B16" s="321">
        <v>64793</v>
      </c>
      <c r="C16" s="321">
        <v>749400</v>
      </c>
      <c r="E16" s="69">
        <f>+F15</f>
        <v>5</v>
      </c>
      <c r="F16" s="1">
        <v>10</v>
      </c>
      <c r="G16" s="1" t="s">
        <v>518</v>
      </c>
      <c r="H16" s="322">
        <v>2</v>
      </c>
    </row>
    <row r="17" spans="1:17" ht="15.75" thickBot="1" x14ac:dyDescent="0.3">
      <c r="A17" s="320" t="s">
        <v>269</v>
      </c>
      <c r="B17" s="321">
        <v>65182</v>
      </c>
      <c r="C17" s="321">
        <v>748656</v>
      </c>
      <c r="E17" s="69">
        <f>+F16</f>
        <v>10</v>
      </c>
      <c r="F17" s="1">
        <v>15</v>
      </c>
      <c r="G17" s="1" t="s">
        <v>519</v>
      </c>
      <c r="H17" s="322">
        <v>3</v>
      </c>
    </row>
    <row r="18" spans="1:17" ht="15.75" thickBot="1" x14ac:dyDescent="0.3">
      <c r="A18" s="320" t="s">
        <v>270</v>
      </c>
      <c r="B18" s="321">
        <v>65443</v>
      </c>
      <c r="C18" s="321">
        <v>756888</v>
      </c>
      <c r="E18" s="323">
        <f>+F17</f>
        <v>15</v>
      </c>
      <c r="F18" s="324">
        <v>20</v>
      </c>
      <c r="G18" s="324" t="s">
        <v>520</v>
      </c>
      <c r="H18" s="325">
        <v>4</v>
      </c>
    </row>
    <row r="19" spans="1:17" ht="15.75" thickBot="1" x14ac:dyDescent="0.3">
      <c r="A19" s="320" t="s">
        <v>271</v>
      </c>
      <c r="B19" s="321">
        <v>65770</v>
      </c>
      <c r="C19" s="321">
        <v>759156</v>
      </c>
    </row>
    <row r="20" spans="1:17" ht="15.75" thickBot="1" x14ac:dyDescent="0.3">
      <c r="A20" s="320" t="s">
        <v>272</v>
      </c>
      <c r="B20" s="321">
        <v>65967</v>
      </c>
      <c r="C20" s="321">
        <v>759912</v>
      </c>
      <c r="E20" s="326">
        <f>+E14*$B$27</f>
        <v>0</v>
      </c>
      <c r="F20" s="327">
        <f>+F14*$B$27</f>
        <v>197227.5</v>
      </c>
      <c r="G20" s="262" t="s">
        <v>516</v>
      </c>
      <c r="H20" s="328">
        <f>+H14*$B$27</f>
        <v>39445.5</v>
      </c>
    </row>
    <row r="21" spans="1:17" ht="15.75" thickBot="1" x14ac:dyDescent="0.3">
      <c r="A21" s="320" t="s">
        <v>273</v>
      </c>
      <c r="B21" s="321">
        <v>65901</v>
      </c>
      <c r="C21" s="321">
        <v>758388</v>
      </c>
      <c r="E21" s="329">
        <f t="shared" ref="E21:F21" si="0">+E15*$B$27</f>
        <v>197227.5</v>
      </c>
      <c r="F21" s="264">
        <f t="shared" si="0"/>
        <v>328712.5</v>
      </c>
      <c r="G21" s="1" t="s">
        <v>517</v>
      </c>
      <c r="H21" s="330">
        <f t="shared" ref="H21:H24" si="1">+H15*$B$27</f>
        <v>65742.5</v>
      </c>
    </row>
    <row r="22" spans="1:17" ht="15.75" thickBot="1" x14ac:dyDescent="0.3">
      <c r="A22" s="320" t="s">
        <v>274</v>
      </c>
      <c r="B22" s="321">
        <v>66362</v>
      </c>
      <c r="C22" s="321">
        <v>761424</v>
      </c>
      <c r="E22" s="329">
        <f t="shared" ref="E22:F22" si="2">+E16*$B$27</f>
        <v>328712.5</v>
      </c>
      <c r="F22" s="264">
        <f t="shared" si="2"/>
        <v>657425</v>
      </c>
      <c r="G22" s="1" t="s">
        <v>518</v>
      </c>
      <c r="H22" s="330">
        <f t="shared" si="1"/>
        <v>131485</v>
      </c>
    </row>
    <row r="23" spans="1:17" ht="15.75" thickBot="1" x14ac:dyDescent="0.3">
      <c r="A23" s="320" t="s">
        <v>275</v>
      </c>
      <c r="B23" s="321">
        <v>66561</v>
      </c>
      <c r="C23" s="321">
        <v>762180</v>
      </c>
      <c r="E23" s="329">
        <f t="shared" ref="E23:F23" si="3">+E17*$B$27</f>
        <v>657425</v>
      </c>
      <c r="F23" s="264">
        <f t="shared" si="3"/>
        <v>986137.5</v>
      </c>
      <c r="G23" s="1" t="s">
        <v>519</v>
      </c>
      <c r="H23" s="330">
        <f t="shared" si="1"/>
        <v>197227.5</v>
      </c>
    </row>
    <row r="24" spans="1:17" ht="15.75" thickBot="1" x14ac:dyDescent="0.3">
      <c r="A24" s="320" t="s">
        <v>276</v>
      </c>
      <c r="B24" s="321">
        <v>66628</v>
      </c>
      <c r="C24" s="321">
        <v>767520</v>
      </c>
      <c r="E24" s="331">
        <f t="shared" ref="E24:F24" si="4">+E18*$B$27</f>
        <v>986137.5</v>
      </c>
      <c r="F24" s="332">
        <f t="shared" si="4"/>
        <v>1314850</v>
      </c>
      <c r="G24" s="324" t="s">
        <v>520</v>
      </c>
      <c r="H24" s="333">
        <f t="shared" si="1"/>
        <v>262970</v>
      </c>
    </row>
    <row r="25" spans="1:17" ht="15.75" thickBot="1" x14ac:dyDescent="0.3">
      <c r="A25" s="334" t="s">
        <v>277</v>
      </c>
      <c r="B25" s="335">
        <v>67294</v>
      </c>
      <c r="C25" s="335">
        <v>770592</v>
      </c>
      <c r="E25" s="264"/>
      <c r="F25" s="264"/>
    </row>
    <row r="26" spans="1:17" x14ac:dyDescent="0.25">
      <c r="A26" s="336" t="s">
        <v>17</v>
      </c>
      <c r="B26" s="337">
        <f>SUM(B14:B25)</f>
        <v>788910</v>
      </c>
    </row>
    <row r="27" spans="1:17" x14ac:dyDescent="0.25">
      <c r="A27" s="261" t="s">
        <v>521</v>
      </c>
      <c r="B27" s="259">
        <f>+AVERAGE(B14:B25)</f>
        <v>65742.5</v>
      </c>
    </row>
    <row r="30" spans="1:17" ht="18.75" x14ac:dyDescent="0.3">
      <c r="A30" s="338" t="s">
        <v>509</v>
      </c>
      <c r="B30" s="339"/>
      <c r="C30" s="339"/>
      <c r="F30" s="272" t="s">
        <v>529</v>
      </c>
      <c r="G30" s="272"/>
      <c r="H30" s="272"/>
      <c r="I30" s="324"/>
      <c r="N30" s="59" t="s">
        <v>541</v>
      </c>
    </row>
    <row r="31" spans="1:17" x14ac:dyDescent="0.25">
      <c r="A31" s="341" t="s">
        <v>510</v>
      </c>
      <c r="B31" s="342"/>
      <c r="C31" s="342"/>
    </row>
    <row r="32" spans="1:17" x14ac:dyDescent="0.25">
      <c r="A32" s="341" t="s">
        <v>512</v>
      </c>
      <c r="B32" s="1"/>
      <c r="F32" s="340" t="s">
        <v>530</v>
      </c>
      <c r="G32" s="324"/>
      <c r="H32" s="324"/>
      <c r="I32" s="324"/>
      <c r="J32" s="324"/>
      <c r="K32" s="324"/>
      <c r="M32" s="265" t="s">
        <v>542</v>
      </c>
      <c r="N32" s="265" t="s">
        <v>544</v>
      </c>
      <c r="O32" s="265" t="s">
        <v>266</v>
      </c>
      <c r="P32" s="265" t="s">
        <v>267</v>
      </c>
      <c r="Q32" s="265" t="s">
        <v>268</v>
      </c>
    </row>
    <row r="33" spans="1:17" x14ac:dyDescent="0.25">
      <c r="A33" s="341" t="s">
        <v>513</v>
      </c>
      <c r="B33" s="1"/>
      <c r="F33" s="1" t="s">
        <v>538</v>
      </c>
      <c r="M33" s="1">
        <v>1</v>
      </c>
      <c r="N33" s="1" t="s">
        <v>545</v>
      </c>
      <c r="O33" s="90">
        <f>+B14*0.6</f>
        <v>38799.599999999999</v>
      </c>
      <c r="P33" s="90">
        <f>+B15*0.6</f>
        <v>38605.799999999996</v>
      </c>
      <c r="Q33" s="90">
        <f>+B16*0.6</f>
        <v>38875.799999999996</v>
      </c>
    </row>
    <row r="34" spans="1:17" x14ac:dyDescent="0.25">
      <c r="A34" s="341" t="s">
        <v>514</v>
      </c>
      <c r="B34" s="1"/>
      <c r="F34" s="1" t="s">
        <v>539</v>
      </c>
    </row>
    <row r="35" spans="1:17" x14ac:dyDescent="0.25">
      <c r="A35" s="1"/>
      <c r="B35" s="1"/>
      <c r="F35" s="1" t="s">
        <v>531</v>
      </c>
      <c r="O35" s="93">
        <v>0.19</v>
      </c>
      <c r="P35" s="93">
        <v>0.19</v>
      </c>
      <c r="Q35" s="93">
        <v>0.19</v>
      </c>
    </row>
    <row r="36" spans="1:17" x14ac:dyDescent="0.25">
      <c r="A36" s="1"/>
      <c r="B36" s="1"/>
      <c r="F36" s="1" t="s">
        <v>540</v>
      </c>
      <c r="M36" s="265"/>
      <c r="N36" s="265" t="s">
        <v>543</v>
      </c>
      <c r="O36" s="265" t="str">
        <f>+O32</f>
        <v>Enero</v>
      </c>
      <c r="P36" s="265" t="str">
        <f>+P32</f>
        <v>Febrero</v>
      </c>
      <c r="Q36" s="265" t="str">
        <f>+Q32</f>
        <v>Marzo</v>
      </c>
    </row>
    <row r="37" spans="1:17" x14ac:dyDescent="0.25">
      <c r="A37" s="248" t="s">
        <v>257</v>
      </c>
      <c r="B37" s="249" t="s">
        <v>508</v>
      </c>
      <c r="C37" s="250" t="s">
        <v>390</v>
      </c>
      <c r="F37" s="1" t="s">
        <v>532</v>
      </c>
      <c r="N37" s="1" t="s">
        <v>353</v>
      </c>
      <c r="O37" s="247">
        <v>100000</v>
      </c>
      <c r="P37" s="247">
        <v>80000</v>
      </c>
      <c r="Q37" s="247">
        <v>50000</v>
      </c>
    </row>
    <row r="38" spans="1:17" x14ac:dyDescent="0.25">
      <c r="A38" s="258" t="s">
        <v>266</v>
      </c>
      <c r="B38" s="259">
        <v>200000</v>
      </c>
      <c r="C38" s="260">
        <f t="shared" ref="C38:C49" si="5">+B14</f>
        <v>64666</v>
      </c>
      <c r="N38" s="1" t="s">
        <v>352</v>
      </c>
      <c r="O38" s="247">
        <f>+O35*O37</f>
        <v>19000</v>
      </c>
      <c r="P38" s="247">
        <f t="shared" ref="P38:Q38" si="6">+P35*P37</f>
        <v>15200</v>
      </c>
      <c r="Q38" s="247">
        <f t="shared" si="6"/>
        <v>9500</v>
      </c>
    </row>
    <row r="39" spans="1:17" x14ac:dyDescent="0.25">
      <c r="A39" s="251" t="s">
        <v>267</v>
      </c>
      <c r="B39" s="247">
        <v>200000</v>
      </c>
      <c r="C39" s="113">
        <f t="shared" si="5"/>
        <v>64343</v>
      </c>
      <c r="F39" s="340" t="s">
        <v>533</v>
      </c>
      <c r="G39" s="324"/>
      <c r="H39" s="324"/>
      <c r="I39" s="324"/>
      <c r="J39" s="324"/>
      <c r="K39" s="324"/>
      <c r="O39" s="247"/>
      <c r="P39" s="247"/>
      <c r="Q39" s="247"/>
    </row>
    <row r="40" spans="1:17" x14ac:dyDescent="0.25">
      <c r="A40" s="251" t="s">
        <v>268</v>
      </c>
      <c r="B40" s="247">
        <v>200000</v>
      </c>
      <c r="C40" s="113">
        <f t="shared" si="5"/>
        <v>64793</v>
      </c>
      <c r="F40" s="1" t="s">
        <v>534</v>
      </c>
      <c r="N40" s="343" t="s">
        <v>17</v>
      </c>
      <c r="O40" s="344">
        <f>SUM(O37:O39)</f>
        <v>119000</v>
      </c>
      <c r="P40" s="344">
        <f t="shared" ref="P40:Q40" si="7">SUM(P37:P39)</f>
        <v>95200</v>
      </c>
      <c r="Q40" s="344">
        <f t="shared" si="7"/>
        <v>59500</v>
      </c>
    </row>
    <row r="41" spans="1:17" x14ac:dyDescent="0.25">
      <c r="A41" s="251" t="s">
        <v>269</v>
      </c>
      <c r="B41" s="247">
        <v>200000</v>
      </c>
      <c r="C41" s="113">
        <f t="shared" si="5"/>
        <v>65182</v>
      </c>
      <c r="F41" s="1" t="s">
        <v>535</v>
      </c>
    </row>
    <row r="42" spans="1:17" x14ac:dyDescent="0.25">
      <c r="A42" s="251" t="s">
        <v>270</v>
      </c>
      <c r="B42" s="247">
        <v>200000</v>
      </c>
      <c r="C42" s="113">
        <f t="shared" si="5"/>
        <v>65443</v>
      </c>
      <c r="N42" s="1" t="s">
        <v>546</v>
      </c>
      <c r="O42" s="38">
        <f>+O33</f>
        <v>38799.599999999999</v>
      </c>
      <c r="P42" s="38">
        <f t="shared" ref="P42:Q42" si="8">+P33</f>
        <v>38605.799999999996</v>
      </c>
      <c r="Q42" s="38">
        <f t="shared" si="8"/>
        <v>38875.799999999996</v>
      </c>
    </row>
    <row r="43" spans="1:17" x14ac:dyDescent="0.25">
      <c r="A43" s="251" t="s">
        <v>271</v>
      </c>
      <c r="B43" s="247">
        <v>200000</v>
      </c>
      <c r="C43" s="113">
        <f t="shared" si="5"/>
        <v>65770</v>
      </c>
      <c r="F43" s="59" t="s">
        <v>536</v>
      </c>
      <c r="N43" s="1" t="s">
        <v>547</v>
      </c>
      <c r="O43" s="38">
        <f>-O38</f>
        <v>-19000</v>
      </c>
      <c r="P43" s="38">
        <f t="shared" ref="P43:Q43" si="9">-P38</f>
        <v>-15200</v>
      </c>
      <c r="Q43" s="38">
        <f t="shared" si="9"/>
        <v>-9500</v>
      </c>
    </row>
    <row r="44" spans="1:17" x14ac:dyDescent="0.25">
      <c r="A44" s="251" t="s">
        <v>272</v>
      </c>
      <c r="B44" s="247">
        <v>120000</v>
      </c>
      <c r="C44" s="113">
        <f t="shared" si="5"/>
        <v>65967</v>
      </c>
      <c r="F44" s="59" t="s">
        <v>537</v>
      </c>
      <c r="N44" s="343" t="s">
        <v>548</v>
      </c>
      <c r="O44" s="344">
        <f>SUM(O42:O43)</f>
        <v>19799.599999999999</v>
      </c>
      <c r="P44" s="344">
        <f t="shared" ref="P44:Q44" si="10">SUM(P42:P43)</f>
        <v>23405.799999999996</v>
      </c>
      <c r="Q44" s="344">
        <f t="shared" si="10"/>
        <v>29375.799999999996</v>
      </c>
    </row>
    <row r="45" spans="1:17" x14ac:dyDescent="0.25">
      <c r="A45" s="251" t="s">
        <v>273</v>
      </c>
      <c r="B45" s="247">
        <v>130000</v>
      </c>
      <c r="C45" s="113">
        <f t="shared" si="5"/>
        <v>65901</v>
      </c>
    </row>
    <row r="46" spans="1:17" x14ac:dyDescent="0.25">
      <c r="A46" s="251" t="s">
        <v>274</v>
      </c>
      <c r="B46" s="247">
        <v>130000</v>
      </c>
      <c r="C46" s="113">
        <f t="shared" si="5"/>
        <v>66362</v>
      </c>
      <c r="N46" s="345" t="s">
        <v>214</v>
      </c>
      <c r="O46" s="346">
        <f>SUM(O43:Q43)</f>
        <v>-43700</v>
      </c>
      <c r="P46" s="350" t="s">
        <v>626</v>
      </c>
    </row>
    <row r="47" spans="1:17" x14ac:dyDescent="0.25">
      <c r="A47" s="251" t="s">
        <v>275</v>
      </c>
      <c r="B47" s="247">
        <v>130000</v>
      </c>
      <c r="C47" s="113">
        <f t="shared" si="5"/>
        <v>66561</v>
      </c>
      <c r="F47" s="59" t="s">
        <v>633</v>
      </c>
      <c r="I47" s="59" t="s">
        <v>632</v>
      </c>
      <c r="N47" s="345" t="s">
        <v>298</v>
      </c>
      <c r="O47" s="347">
        <f>SUM(O44:Q44)</f>
        <v>72581.199999999983</v>
      </c>
      <c r="P47" s="346">
        <f>SUM(B38:B40)</f>
        <v>600000</v>
      </c>
    </row>
    <row r="48" spans="1:17" x14ac:dyDescent="0.25">
      <c r="A48" s="251" t="s">
        <v>276</v>
      </c>
      <c r="B48" s="247">
        <v>130000</v>
      </c>
      <c r="C48" s="113">
        <f t="shared" si="5"/>
        <v>66628</v>
      </c>
      <c r="F48" s="1" t="s">
        <v>634</v>
      </c>
    </row>
    <row r="49" spans="1:17" x14ac:dyDescent="0.25">
      <c r="A49" s="251" t="s">
        <v>277</v>
      </c>
      <c r="B49" s="247">
        <v>100000</v>
      </c>
      <c r="C49" s="113">
        <f t="shared" si="5"/>
        <v>67294</v>
      </c>
      <c r="F49" s="1" t="s">
        <v>635</v>
      </c>
      <c r="N49" s="59" t="s">
        <v>549</v>
      </c>
    </row>
    <row r="50" spans="1:17" x14ac:dyDescent="0.25">
      <c r="A50" s="251"/>
      <c r="B50" s="247"/>
      <c r="C50" s="113"/>
      <c r="F50" s="1" t="s">
        <v>636</v>
      </c>
    </row>
    <row r="51" spans="1:17" x14ac:dyDescent="0.25">
      <c r="A51" s="263" t="s">
        <v>17</v>
      </c>
      <c r="B51" s="263">
        <f>SUM(B38:B50)</f>
        <v>1940000</v>
      </c>
      <c r="C51" s="263">
        <f>SUM(C38:C50)</f>
        <v>788910</v>
      </c>
      <c r="F51" s="1" t="s">
        <v>637</v>
      </c>
      <c r="M51" s="265" t="s">
        <v>542</v>
      </c>
      <c r="N51" s="265" t="s">
        <v>544</v>
      </c>
      <c r="O51" s="265" t="s">
        <v>266</v>
      </c>
      <c r="P51" s="265" t="s">
        <v>267</v>
      </c>
      <c r="Q51" s="265" t="s">
        <v>268</v>
      </c>
    </row>
    <row r="52" spans="1:17" x14ac:dyDescent="0.25">
      <c r="A52" s="383" t="s">
        <v>521</v>
      </c>
      <c r="B52" s="384">
        <f>+AVERAGE(B38:B50)</f>
        <v>161666.66666666666</v>
      </c>
      <c r="C52" s="384">
        <f>+AVERAGE(C38:C50)</f>
        <v>65742.5</v>
      </c>
      <c r="F52" s="1" t="s">
        <v>638</v>
      </c>
      <c r="M52" s="1">
        <v>1</v>
      </c>
      <c r="N52" s="1" t="s">
        <v>545</v>
      </c>
      <c r="O52" s="90">
        <f>+O33</f>
        <v>38799.599999999999</v>
      </c>
      <c r="P52" s="90">
        <f t="shared" ref="P52:Q52" si="11">+P33</f>
        <v>38605.799999999996</v>
      </c>
      <c r="Q52" s="90">
        <f t="shared" si="11"/>
        <v>38875.799999999996</v>
      </c>
    </row>
    <row r="53" spans="1:17" x14ac:dyDescent="0.25">
      <c r="C53" s="207"/>
      <c r="F53" s="1" t="s">
        <v>639</v>
      </c>
    </row>
    <row r="54" spans="1:17" x14ac:dyDescent="0.25">
      <c r="A54" s="211" t="s">
        <v>524</v>
      </c>
      <c r="F54" s="1" t="s">
        <v>640</v>
      </c>
      <c r="O54" s="93">
        <v>0.19</v>
      </c>
      <c r="P54" s="93">
        <v>0.19</v>
      </c>
      <c r="Q54" s="93">
        <v>0.19</v>
      </c>
    </row>
    <row r="55" spans="1:17" x14ac:dyDescent="0.25">
      <c r="A55" s="211" t="s">
        <v>525</v>
      </c>
      <c r="F55" s="1" t="s">
        <v>641</v>
      </c>
      <c r="M55" s="265"/>
      <c r="N55" s="265" t="s">
        <v>543</v>
      </c>
      <c r="O55" s="265" t="str">
        <f>+O51</f>
        <v>Enero</v>
      </c>
      <c r="P55" s="265" t="str">
        <f>+P51</f>
        <v>Febrero</v>
      </c>
      <c r="Q55" s="265" t="str">
        <f>+Q51</f>
        <v>Marzo</v>
      </c>
    </row>
    <row r="56" spans="1:17" x14ac:dyDescent="0.25">
      <c r="N56" s="1" t="s">
        <v>353</v>
      </c>
      <c r="O56" s="247">
        <v>100000</v>
      </c>
      <c r="P56" s="247">
        <v>80000</v>
      </c>
      <c r="Q56" s="247">
        <v>50000</v>
      </c>
    </row>
    <row r="57" spans="1:17" x14ac:dyDescent="0.25">
      <c r="A57" s="211" t="s">
        <v>526</v>
      </c>
      <c r="B57" s="207">
        <f>+B51</f>
        <v>1940000</v>
      </c>
      <c r="C57" s="211">
        <f>+B57/B58</f>
        <v>2.4590891229671317</v>
      </c>
      <c r="N57" s="1" t="s">
        <v>352</v>
      </c>
      <c r="O57" s="247">
        <f>+O54*O56</f>
        <v>19000</v>
      </c>
      <c r="P57" s="247">
        <f t="shared" ref="P57" si="12">+P54*P56</f>
        <v>15200</v>
      </c>
      <c r="Q57" s="247">
        <f t="shared" ref="Q57" si="13">+Q54*Q56</f>
        <v>9500</v>
      </c>
    </row>
    <row r="58" spans="1:17" x14ac:dyDescent="0.25">
      <c r="A58" s="211" t="s">
        <v>527</v>
      </c>
      <c r="B58" s="207">
        <f>+C51</f>
        <v>788910</v>
      </c>
      <c r="C58" s="207"/>
      <c r="O58" s="247"/>
      <c r="P58" s="247"/>
      <c r="Q58" s="247"/>
    </row>
    <row r="59" spans="1:17" x14ac:dyDescent="0.25">
      <c r="N59" s="343" t="s">
        <v>17</v>
      </c>
      <c r="O59" s="344">
        <f>SUM(O56:O58)</f>
        <v>119000</v>
      </c>
      <c r="P59" s="344">
        <f t="shared" ref="P59" si="14">SUM(P56:P58)</f>
        <v>95200</v>
      </c>
      <c r="Q59" s="344">
        <f t="shared" ref="Q59" si="15">SUM(Q56:Q58)</f>
        <v>59500</v>
      </c>
    </row>
    <row r="60" spans="1:17" x14ac:dyDescent="0.25">
      <c r="A60" s="211" t="s">
        <v>526</v>
      </c>
      <c r="B60" s="207">
        <f>+B52</f>
        <v>161666.66666666666</v>
      </c>
      <c r="C60" s="348">
        <f>+B60/B61</f>
        <v>2.4590891229671317</v>
      </c>
      <c r="D60" s="318" t="s">
        <v>528</v>
      </c>
      <c r="E60" s="314"/>
    </row>
    <row r="61" spans="1:17" x14ac:dyDescent="0.25">
      <c r="A61" s="211" t="s">
        <v>528</v>
      </c>
      <c r="B61" s="259">
        <f>+C52</f>
        <v>65742.5</v>
      </c>
      <c r="N61" s="1" t="s">
        <v>546</v>
      </c>
      <c r="O61" s="38">
        <f>+O52</f>
        <v>38799.599999999999</v>
      </c>
      <c r="P61" s="38">
        <f t="shared" ref="P61:Q61" si="16">+P52</f>
        <v>38605.799999999996</v>
      </c>
      <c r="Q61" s="38">
        <f t="shared" si="16"/>
        <v>38875.799999999996</v>
      </c>
    </row>
    <row r="62" spans="1:17" x14ac:dyDescent="0.25">
      <c r="N62" s="1" t="s">
        <v>547</v>
      </c>
      <c r="O62" s="38">
        <f>-O57</f>
        <v>-19000</v>
      </c>
      <c r="P62" s="38">
        <f t="shared" ref="P62:Q62" si="17">-P57</f>
        <v>-15200</v>
      </c>
      <c r="Q62" s="38">
        <f t="shared" si="17"/>
        <v>-9500</v>
      </c>
    </row>
    <row r="63" spans="1:17" x14ac:dyDescent="0.25">
      <c r="N63" s="343" t="s">
        <v>548</v>
      </c>
      <c r="O63" s="344">
        <f>SUM(O61:O62)</f>
        <v>19799.599999999999</v>
      </c>
      <c r="P63" s="344">
        <f t="shared" ref="P63" si="18">SUM(P61:P62)</f>
        <v>23405.799999999996</v>
      </c>
      <c r="Q63" s="344">
        <f t="shared" ref="Q63" si="19">SUM(Q61:Q62)</f>
        <v>29375.799999999996</v>
      </c>
    </row>
    <row r="64" spans="1:17" ht="18.75" x14ac:dyDescent="0.3">
      <c r="A64" s="590" t="s">
        <v>558</v>
      </c>
      <c r="B64" s="590"/>
      <c r="C64" s="590"/>
    </row>
    <row r="65" spans="1:17" x14ac:dyDescent="0.25">
      <c r="N65" s="345" t="s">
        <v>214</v>
      </c>
      <c r="O65" s="346">
        <f>SUM(O62:Q62)</f>
        <v>-43700</v>
      </c>
      <c r="P65" s="350" t="s">
        <v>626</v>
      </c>
    </row>
    <row r="66" spans="1:17" x14ac:dyDescent="0.25">
      <c r="A66" s="248" t="s">
        <v>257</v>
      </c>
      <c r="B66" s="249" t="s">
        <v>508</v>
      </c>
      <c r="C66" s="250" t="s">
        <v>390</v>
      </c>
      <c r="N66" s="345" t="s">
        <v>298</v>
      </c>
      <c r="O66" s="347">
        <f>SUM(O63:Q63)</f>
        <v>72581.199999999983</v>
      </c>
      <c r="P66" s="346">
        <f>+P47</f>
        <v>600000</v>
      </c>
    </row>
    <row r="67" spans="1:17" x14ac:dyDescent="0.25">
      <c r="A67" s="258" t="s">
        <v>266</v>
      </c>
      <c r="B67" s="259">
        <v>200000</v>
      </c>
      <c r="C67" s="260">
        <f>+B14</f>
        <v>64666</v>
      </c>
    </row>
    <row r="68" spans="1:17" x14ac:dyDescent="0.25">
      <c r="A68" s="315" t="s">
        <v>267</v>
      </c>
      <c r="B68" s="316"/>
      <c r="C68" s="317">
        <f t="shared" ref="C68:C78" si="20">+B15</f>
        <v>64343</v>
      </c>
      <c r="N68" s="340" t="s">
        <v>550</v>
      </c>
      <c r="O68" s="324"/>
      <c r="P68" s="324"/>
      <c r="Q68" s="324"/>
    </row>
    <row r="69" spans="1:17" x14ac:dyDescent="0.25">
      <c r="A69" s="251" t="s">
        <v>268</v>
      </c>
      <c r="B69" s="247">
        <v>200000</v>
      </c>
      <c r="C69" s="113">
        <f t="shared" si="20"/>
        <v>64793</v>
      </c>
      <c r="N69" s="1" t="s">
        <v>551</v>
      </c>
    </row>
    <row r="70" spans="1:17" x14ac:dyDescent="0.25">
      <c r="A70" s="251" t="s">
        <v>269</v>
      </c>
      <c r="B70" s="247">
        <v>200000</v>
      </c>
      <c r="C70" s="113">
        <f t="shared" si="20"/>
        <v>65182</v>
      </c>
      <c r="N70" s="1" t="s">
        <v>552</v>
      </c>
    </row>
    <row r="71" spans="1:17" x14ac:dyDescent="0.25">
      <c r="A71" s="251" t="s">
        <v>270</v>
      </c>
      <c r="B71" s="247">
        <v>200000</v>
      </c>
      <c r="C71" s="113">
        <f t="shared" si="20"/>
        <v>65443</v>
      </c>
    </row>
    <row r="72" spans="1:17" x14ac:dyDescent="0.25">
      <c r="A72" s="251" t="s">
        <v>271</v>
      </c>
      <c r="B72" s="247">
        <v>200000</v>
      </c>
      <c r="C72" s="113">
        <f t="shared" si="20"/>
        <v>65770</v>
      </c>
      <c r="M72" s="1">
        <v>1</v>
      </c>
      <c r="N72" s="1" t="s">
        <v>553</v>
      </c>
      <c r="O72" s="38">
        <v>2000000</v>
      </c>
    </row>
    <row r="73" spans="1:17" x14ac:dyDescent="0.25">
      <c r="A73" s="251" t="s">
        <v>272</v>
      </c>
      <c r="B73" s="247">
        <v>120000</v>
      </c>
      <c r="C73" s="113">
        <f t="shared" si="20"/>
        <v>65967</v>
      </c>
      <c r="M73" s="93">
        <v>0.19</v>
      </c>
      <c r="N73" s="1" t="s">
        <v>352</v>
      </c>
      <c r="O73" s="38">
        <f>+O72*M73</f>
        <v>380000</v>
      </c>
    </row>
    <row r="74" spans="1:17" x14ac:dyDescent="0.25">
      <c r="A74" s="251" t="s">
        <v>273</v>
      </c>
      <c r="B74" s="247">
        <v>130000</v>
      </c>
      <c r="C74" s="113">
        <f t="shared" si="20"/>
        <v>65901</v>
      </c>
      <c r="N74" s="343" t="s">
        <v>17</v>
      </c>
      <c r="O74" s="349">
        <f>SUM(O72:O73)</f>
        <v>2380000</v>
      </c>
    </row>
    <row r="75" spans="1:17" x14ac:dyDescent="0.25">
      <c r="A75" s="251" t="s">
        <v>274</v>
      </c>
      <c r="B75" s="247">
        <v>130000</v>
      </c>
      <c r="C75" s="113">
        <f t="shared" si="20"/>
        <v>66362</v>
      </c>
    </row>
    <row r="76" spans="1:17" x14ac:dyDescent="0.25">
      <c r="A76" s="251" t="s">
        <v>275</v>
      </c>
      <c r="B76" s="247">
        <v>130000</v>
      </c>
      <c r="C76" s="113">
        <f t="shared" si="20"/>
        <v>66561</v>
      </c>
      <c r="N76" s="1" t="s">
        <v>554</v>
      </c>
    </row>
    <row r="77" spans="1:17" x14ac:dyDescent="0.25">
      <c r="A77" s="251" t="s">
        <v>276</v>
      </c>
      <c r="B77" s="247">
        <v>130000</v>
      </c>
      <c r="C77" s="113">
        <f t="shared" si="20"/>
        <v>66628</v>
      </c>
      <c r="N77" s="1" t="s">
        <v>555</v>
      </c>
    </row>
    <row r="78" spans="1:17" x14ac:dyDescent="0.25">
      <c r="A78" s="251" t="s">
        <v>277</v>
      </c>
      <c r="B78" s="247">
        <v>100000</v>
      </c>
      <c r="C78" s="113">
        <f t="shared" si="20"/>
        <v>67294</v>
      </c>
      <c r="N78" s="59" t="s">
        <v>556</v>
      </c>
    </row>
    <row r="79" spans="1:17" x14ac:dyDescent="0.25">
      <c r="A79" s="252"/>
      <c r="B79" s="253"/>
      <c r="C79" s="254"/>
    </row>
    <row r="80" spans="1:17" x14ac:dyDescent="0.25">
      <c r="A80" s="263" t="s">
        <v>17</v>
      </c>
      <c r="B80" s="263">
        <f>SUM(B67:B79)</f>
        <v>1740000</v>
      </c>
      <c r="C80" s="263">
        <f>SUM(C67:C79)</f>
        <v>788910</v>
      </c>
      <c r="N80" s="59" t="s">
        <v>561</v>
      </c>
    </row>
    <row r="81" spans="1:17" x14ac:dyDescent="0.25">
      <c r="A81" s="211" t="s">
        <v>521</v>
      </c>
      <c r="B81" s="207">
        <f>+AVERAGE(B67:B79)</f>
        <v>158181.81818181818</v>
      </c>
      <c r="C81" s="207">
        <f>+AVERAGE(C67:C79)</f>
        <v>65742.5</v>
      </c>
    </row>
    <row r="82" spans="1:17" x14ac:dyDescent="0.25">
      <c r="C82" s="207"/>
      <c r="M82" s="265" t="s">
        <v>542</v>
      </c>
      <c r="N82" s="265" t="s">
        <v>544</v>
      </c>
      <c r="O82" s="265" t="s">
        <v>266</v>
      </c>
      <c r="P82" s="265" t="s">
        <v>267</v>
      </c>
      <c r="Q82" s="265" t="s">
        <v>268</v>
      </c>
    </row>
    <row r="83" spans="1:17" x14ac:dyDescent="0.25">
      <c r="A83" s="211" t="s">
        <v>560</v>
      </c>
      <c r="B83" s="207">
        <f>+B81*12</f>
        <v>1898181.8181818181</v>
      </c>
      <c r="M83" s="1">
        <v>1</v>
      </c>
      <c r="N83" s="1" t="s">
        <v>545</v>
      </c>
      <c r="O83" s="90">
        <f>+O52</f>
        <v>38799.599999999999</v>
      </c>
      <c r="P83" s="90">
        <f t="shared" ref="P83:Q83" si="21">+P52</f>
        <v>38605.799999999996</v>
      </c>
      <c r="Q83" s="90">
        <f t="shared" si="21"/>
        <v>38875.799999999996</v>
      </c>
    </row>
    <row r="84" spans="1:17" x14ac:dyDescent="0.25">
      <c r="A84" s="211" t="s">
        <v>559</v>
      </c>
      <c r="B84" s="207">
        <f>+B83/11</f>
        <v>172561.98347107437</v>
      </c>
    </row>
    <row r="85" spans="1:17" x14ac:dyDescent="0.25">
      <c r="O85" s="93">
        <v>0.19</v>
      </c>
      <c r="P85" s="93">
        <v>0.19</v>
      </c>
      <c r="Q85" s="93">
        <v>0.19</v>
      </c>
    </row>
    <row r="86" spans="1:17" x14ac:dyDescent="0.25">
      <c r="A86" s="211" t="s">
        <v>524</v>
      </c>
      <c r="M86" s="265"/>
      <c r="N86" s="265" t="s">
        <v>543</v>
      </c>
      <c r="O86" s="265" t="str">
        <f>+O82</f>
        <v>Enero</v>
      </c>
      <c r="P86" s="265" t="str">
        <f>+P82</f>
        <v>Febrero</v>
      </c>
      <c r="Q86" s="265" t="str">
        <f>+Q82</f>
        <v>Marzo</v>
      </c>
    </row>
    <row r="87" spans="1:17" x14ac:dyDescent="0.25">
      <c r="A87" s="211" t="s">
        <v>525</v>
      </c>
      <c r="N87" s="1" t="s">
        <v>353</v>
      </c>
      <c r="O87" s="247">
        <v>1000000</v>
      </c>
      <c r="P87" s="247">
        <v>80000</v>
      </c>
      <c r="Q87" s="247">
        <v>50000</v>
      </c>
    </row>
    <row r="88" spans="1:17" x14ac:dyDescent="0.25">
      <c r="N88" s="1" t="s">
        <v>352</v>
      </c>
      <c r="O88" s="247">
        <f>+O85*O87</f>
        <v>190000</v>
      </c>
      <c r="P88" s="247">
        <f t="shared" ref="P88" si="22">+P85*P87</f>
        <v>15200</v>
      </c>
      <c r="Q88" s="247">
        <f t="shared" ref="Q88" si="23">+Q85*Q87</f>
        <v>9500</v>
      </c>
    </row>
    <row r="89" spans="1:17" x14ac:dyDescent="0.25">
      <c r="A89" s="211" t="s">
        <v>526</v>
      </c>
      <c r="B89" s="207">
        <f>+B83</f>
        <v>1898181.8181818181</v>
      </c>
      <c r="C89" s="211">
        <f>+B89/B90</f>
        <v>2.4060815786107645</v>
      </c>
      <c r="O89" s="247"/>
      <c r="P89" s="247"/>
      <c r="Q89" s="247"/>
    </row>
    <row r="90" spans="1:17" x14ac:dyDescent="0.25">
      <c r="A90" s="211" t="s">
        <v>527</v>
      </c>
      <c r="B90" s="207">
        <f>+C80</f>
        <v>788910</v>
      </c>
      <c r="C90" s="207"/>
      <c r="N90" s="343" t="s">
        <v>17</v>
      </c>
      <c r="O90" s="344">
        <f>SUM(O87:O89)</f>
        <v>1190000</v>
      </c>
      <c r="P90" s="344">
        <f t="shared" ref="P90" si="24">SUM(P87:P89)</f>
        <v>95200</v>
      </c>
      <c r="Q90" s="344">
        <f t="shared" ref="Q90" si="25">SUM(Q87:Q89)</f>
        <v>59500</v>
      </c>
    </row>
    <row r="92" spans="1:17" x14ac:dyDescent="0.25">
      <c r="A92" s="211" t="s">
        <v>526</v>
      </c>
      <c r="B92" s="207">
        <f>+B84</f>
        <v>172561.98347107437</v>
      </c>
      <c r="C92" s="348">
        <f>+B92/B93</f>
        <v>2.6248162675753792</v>
      </c>
      <c r="N92" s="1" t="s">
        <v>546</v>
      </c>
      <c r="O92" s="38">
        <f>+O83</f>
        <v>38799.599999999999</v>
      </c>
      <c r="P92" s="38">
        <f t="shared" ref="P92:Q92" si="26">+P83</f>
        <v>38605.799999999996</v>
      </c>
      <c r="Q92" s="38">
        <f t="shared" si="26"/>
        <v>38875.799999999996</v>
      </c>
    </row>
    <row r="93" spans="1:17" x14ac:dyDescent="0.25">
      <c r="A93" s="211" t="s">
        <v>528</v>
      </c>
      <c r="B93" s="259">
        <f>+C81</f>
        <v>65742.5</v>
      </c>
      <c r="N93" s="1" t="s">
        <v>547</v>
      </c>
      <c r="O93" s="38">
        <f>-O88</f>
        <v>-190000</v>
      </c>
      <c r="P93" s="38">
        <f t="shared" ref="P93:Q93" si="27">-P88</f>
        <v>-15200</v>
      </c>
      <c r="Q93" s="38">
        <f t="shared" si="27"/>
        <v>-9500</v>
      </c>
    </row>
    <row r="94" spans="1:17" x14ac:dyDescent="0.25">
      <c r="N94" s="343" t="s">
        <v>548</v>
      </c>
      <c r="O94" s="349">
        <f>IF(SUM(O92:O93)&lt;0,0,O92+O93)</f>
        <v>0</v>
      </c>
      <c r="P94" s="349">
        <f t="shared" ref="P94" si="28">SUM(P92:P93)</f>
        <v>23405.799999999996</v>
      </c>
      <c r="Q94" s="349">
        <f t="shared" ref="Q94" si="29">SUM(Q92:Q93)</f>
        <v>29375.799999999996</v>
      </c>
    </row>
    <row r="95" spans="1:17" x14ac:dyDescent="0.25">
      <c r="N95" s="59" t="s">
        <v>628</v>
      </c>
      <c r="O95" s="76">
        <f>+O92+O93</f>
        <v>-151200.4</v>
      </c>
      <c r="P95" s="76"/>
      <c r="Q95" s="76"/>
    </row>
    <row r="97" spans="13:17" x14ac:dyDescent="0.25">
      <c r="N97" s="345" t="s">
        <v>298</v>
      </c>
      <c r="O97" s="346">
        <f>SUM(O94:Q94)</f>
        <v>52781.599999999991</v>
      </c>
    </row>
    <row r="99" spans="13:17" x14ac:dyDescent="0.25">
      <c r="N99" s="59" t="s">
        <v>550</v>
      </c>
    </row>
    <row r="101" spans="13:17" x14ac:dyDescent="0.25">
      <c r="N101" s="1" t="s">
        <v>551</v>
      </c>
    </row>
    <row r="102" spans="13:17" x14ac:dyDescent="0.25">
      <c r="N102" s="1" t="s">
        <v>552</v>
      </c>
    </row>
    <row r="104" spans="13:17" x14ac:dyDescent="0.25">
      <c r="N104" s="1" t="s">
        <v>553</v>
      </c>
      <c r="O104" s="38">
        <v>2000000</v>
      </c>
      <c r="Q104" s="38"/>
    </row>
    <row r="105" spans="13:17" x14ac:dyDescent="0.25">
      <c r="M105" s="93">
        <v>0.19</v>
      </c>
      <c r="N105" s="1" t="s">
        <v>557</v>
      </c>
      <c r="O105" s="38">
        <f>+O104*M105</f>
        <v>380000</v>
      </c>
      <c r="Q105" s="38"/>
    </row>
    <row r="106" spans="13:17" x14ac:dyDescent="0.25">
      <c r="N106" s="343" t="s">
        <v>17</v>
      </c>
      <c r="O106" s="349">
        <f>SUM(O104:O105)</f>
        <v>2380000</v>
      </c>
      <c r="Q106" s="38"/>
    </row>
    <row r="108" spans="13:17" x14ac:dyDescent="0.25">
      <c r="N108" s="1" t="s">
        <v>554</v>
      </c>
    </row>
    <row r="109" spans="13:17" x14ac:dyDescent="0.25">
      <c r="N109" s="1" t="s">
        <v>555</v>
      </c>
    </row>
    <row r="110" spans="13:17" x14ac:dyDescent="0.25">
      <c r="N110" s="59" t="s">
        <v>556</v>
      </c>
    </row>
  </sheetData>
  <mergeCells count="6">
    <mergeCell ref="A64:C64"/>
    <mergeCell ref="A8:G8"/>
    <mergeCell ref="E13:F13"/>
    <mergeCell ref="A12:A13"/>
    <mergeCell ref="B12:B13"/>
    <mergeCell ref="C12:C1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96F0-CC19-4772-950C-7F66281363B9}">
  <sheetPr>
    <tabColor rgb="FF00B0F0"/>
  </sheetPr>
  <dimension ref="B2:AA224"/>
  <sheetViews>
    <sheetView showGridLines="0" view="pageBreakPreview" zoomScale="80" zoomScaleNormal="75" zoomScaleSheetLayoutView="80" workbookViewId="0">
      <pane ySplit="8" topLeftCell="A106" activePane="bottomLeft" state="frozen"/>
      <selection pane="bottomLeft" activeCell="S124" sqref="S124"/>
    </sheetView>
  </sheetViews>
  <sheetFormatPr baseColWidth="10" defaultColWidth="11.42578125" defaultRowHeight="15" x14ac:dyDescent="0.25"/>
  <cols>
    <col min="1" max="1" width="3.5703125" style="1" customWidth="1"/>
    <col min="2" max="2" width="4.7109375" style="1" bestFit="1" customWidth="1"/>
    <col min="3" max="3" width="14.42578125" style="1" customWidth="1"/>
    <col min="4" max="5" width="11.42578125" style="1"/>
    <col min="6" max="7" width="4.7109375" style="1" bestFit="1" customWidth="1"/>
    <col min="8" max="8" width="11.42578125" style="1"/>
    <col min="9" max="9" width="5.28515625" style="1" bestFit="1" customWidth="1"/>
    <col min="10" max="10" width="4.7109375" style="1" bestFit="1" customWidth="1"/>
    <col min="11" max="11" width="21.140625" style="1" customWidth="1"/>
    <col min="12" max="12" width="11.42578125" style="1"/>
    <col min="13" max="13" width="6.85546875" style="1" customWidth="1"/>
    <col min="14" max="14" width="8.28515625" style="1" bestFit="1" customWidth="1"/>
    <col min="15" max="15" width="4.7109375" style="1" bestFit="1" customWidth="1"/>
    <col min="16" max="16" width="17.5703125" style="1" customWidth="1"/>
    <col min="17" max="17" width="2.42578125" style="1" bestFit="1" customWidth="1"/>
    <col min="18" max="18" width="4.7109375" style="1" bestFit="1" customWidth="1"/>
    <col min="19" max="19" width="17.85546875" style="1" customWidth="1"/>
    <col min="20" max="20" width="2.42578125" style="1" bestFit="1" customWidth="1"/>
    <col min="21" max="21" width="11.42578125" style="1"/>
    <col min="22" max="22" width="6.5703125" style="1" customWidth="1"/>
    <col min="23" max="16384" width="11.42578125" style="1"/>
  </cols>
  <sheetData>
    <row r="2" spans="2:20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x14ac:dyDescent="0.25">
      <c r="B3" s="3"/>
      <c r="C3" s="551" t="s">
        <v>21</v>
      </c>
      <c r="D3" s="552"/>
      <c r="E3" s="553"/>
      <c r="F3" s="3"/>
      <c r="G3" s="3"/>
      <c r="H3" s="3"/>
      <c r="I3" s="551" t="s">
        <v>22</v>
      </c>
      <c r="J3" s="552"/>
      <c r="K3" s="552"/>
      <c r="L3" s="552"/>
      <c r="M3" s="553"/>
      <c r="N3" s="3"/>
      <c r="O3" s="3"/>
      <c r="P3" s="3"/>
      <c r="Q3" s="551" t="s">
        <v>23</v>
      </c>
      <c r="R3" s="552"/>
      <c r="S3" s="553"/>
      <c r="T3" s="3"/>
    </row>
    <row r="4" spans="2:20" x14ac:dyDescent="0.25">
      <c r="B4" s="2"/>
      <c r="C4" s="554">
        <v>15</v>
      </c>
      <c r="D4" s="123" t="s">
        <v>24</v>
      </c>
      <c r="E4" s="4" t="s">
        <v>25</v>
      </c>
      <c r="F4" s="2"/>
      <c r="G4" s="2"/>
      <c r="H4" s="2"/>
      <c r="I4" s="554">
        <v>3</v>
      </c>
      <c r="J4" s="556">
        <f>+Indice!B9</f>
        <v>0</v>
      </c>
      <c r="K4" s="556"/>
      <c r="L4" s="556"/>
      <c r="M4" s="557"/>
      <c r="N4" s="2"/>
      <c r="O4" s="2"/>
      <c r="P4" s="2"/>
      <c r="Q4" s="554">
        <v>7</v>
      </c>
      <c r="R4" s="560"/>
      <c r="S4" s="561"/>
      <c r="T4" s="2"/>
    </row>
    <row r="5" spans="2:20" ht="15.75" thickBot="1" x14ac:dyDescent="0.3">
      <c r="B5" s="2"/>
      <c r="C5" s="555"/>
      <c r="D5" s="5">
        <v>9</v>
      </c>
      <c r="E5" s="6">
        <v>2024</v>
      </c>
      <c r="F5" s="2"/>
      <c r="G5" s="2"/>
      <c r="H5" s="2"/>
      <c r="I5" s="555"/>
      <c r="J5" s="558"/>
      <c r="K5" s="558"/>
      <c r="L5" s="558"/>
      <c r="M5" s="559"/>
      <c r="N5" s="2"/>
      <c r="O5" s="2"/>
      <c r="P5" s="2"/>
      <c r="Q5" s="555"/>
      <c r="R5" s="562"/>
      <c r="S5" s="563"/>
      <c r="T5" s="2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25">
      <c r="B7" s="7">
        <v>1</v>
      </c>
      <c r="C7" s="485" t="s">
        <v>26</v>
      </c>
      <c r="D7" s="485"/>
      <c r="E7" s="485"/>
      <c r="F7" s="485"/>
      <c r="G7" s="485"/>
      <c r="H7" s="485"/>
      <c r="I7" s="8">
        <v>2</v>
      </c>
      <c r="J7" s="485" t="s">
        <v>27</v>
      </c>
      <c r="K7" s="485"/>
      <c r="L7" s="485"/>
      <c r="M7" s="485"/>
      <c r="N7" s="485"/>
      <c r="O7" s="8">
        <v>5</v>
      </c>
      <c r="P7" s="485" t="s">
        <v>28</v>
      </c>
      <c r="Q7" s="485"/>
      <c r="R7" s="485"/>
      <c r="S7" s="485"/>
      <c r="T7" s="498"/>
    </row>
    <row r="8" spans="2:20" ht="15.75" thickBot="1" x14ac:dyDescent="0.3">
      <c r="B8" s="564"/>
      <c r="C8" s="562"/>
      <c r="D8" s="562"/>
      <c r="E8" s="562"/>
      <c r="F8" s="562"/>
      <c r="G8" s="562"/>
      <c r="H8" s="562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6"/>
    </row>
    <row r="9" spans="2:20" ht="15.75" thickBot="1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x14ac:dyDescent="0.25">
      <c r="B10" s="484" t="s">
        <v>29</v>
      </c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6"/>
    </row>
    <row r="11" spans="2:20" x14ac:dyDescent="0.25">
      <c r="B11" s="518" t="s">
        <v>30</v>
      </c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47"/>
    </row>
    <row r="12" spans="2:20" x14ac:dyDescent="0.25">
      <c r="B12" s="518" t="s">
        <v>31</v>
      </c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47"/>
    </row>
    <row r="13" spans="2:20" x14ac:dyDescent="0.25">
      <c r="B13" s="503" t="s">
        <v>32</v>
      </c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 t="s">
        <v>33</v>
      </c>
      <c r="N13" s="504"/>
      <c r="O13" s="504"/>
      <c r="P13" s="504"/>
      <c r="Q13" s="504"/>
      <c r="R13" s="504" t="s">
        <v>34</v>
      </c>
      <c r="S13" s="504"/>
      <c r="T13" s="505"/>
    </row>
    <row r="14" spans="2:20" x14ac:dyDescent="0.25">
      <c r="B14" s="49">
        <v>1</v>
      </c>
      <c r="C14" s="471" t="s">
        <v>35</v>
      </c>
      <c r="D14" s="471"/>
      <c r="E14" s="471"/>
      <c r="F14" s="471"/>
      <c r="G14" s="471"/>
      <c r="H14" s="471"/>
      <c r="I14" s="471"/>
      <c r="J14" s="471"/>
      <c r="K14" s="471"/>
      <c r="L14" s="471"/>
      <c r="M14" s="125">
        <v>585</v>
      </c>
      <c r="N14" s="506"/>
      <c r="O14" s="506"/>
      <c r="P14" s="506"/>
      <c r="Q14" s="506"/>
      <c r="R14" s="125">
        <v>20</v>
      </c>
      <c r="S14" s="127"/>
      <c r="T14" s="48"/>
    </row>
    <row r="15" spans="2:20" x14ac:dyDescent="0.25">
      <c r="B15" s="49">
        <v>2</v>
      </c>
      <c r="C15" s="471" t="s">
        <v>36</v>
      </c>
      <c r="D15" s="471"/>
      <c r="E15" s="471"/>
      <c r="F15" s="471"/>
      <c r="G15" s="471"/>
      <c r="H15" s="471"/>
      <c r="I15" s="471"/>
      <c r="J15" s="471"/>
      <c r="K15" s="471"/>
      <c r="L15" s="471"/>
      <c r="M15" s="125">
        <v>586</v>
      </c>
      <c r="N15" s="541"/>
      <c r="O15" s="541"/>
      <c r="P15" s="541"/>
      <c r="Q15" s="541"/>
      <c r="R15" s="125">
        <v>142</v>
      </c>
      <c r="S15" s="129"/>
      <c r="T15" s="48"/>
    </row>
    <row r="16" spans="2:20" x14ac:dyDescent="0.25">
      <c r="B16" s="49">
        <v>3</v>
      </c>
      <c r="C16" s="471" t="s">
        <v>37</v>
      </c>
      <c r="D16" s="471"/>
      <c r="E16" s="471"/>
      <c r="F16" s="471"/>
      <c r="G16" s="471"/>
      <c r="H16" s="471"/>
      <c r="I16" s="471"/>
      <c r="J16" s="471"/>
      <c r="K16" s="471"/>
      <c r="L16" s="471"/>
      <c r="M16" s="125">
        <v>731</v>
      </c>
      <c r="N16" s="506"/>
      <c r="O16" s="506"/>
      <c r="P16" s="506"/>
      <c r="Q16" s="506"/>
      <c r="R16" s="125">
        <v>732</v>
      </c>
      <c r="S16" s="127"/>
      <c r="T16" s="48"/>
    </row>
    <row r="17" spans="2:20" x14ac:dyDescent="0.25">
      <c r="B17" s="49">
        <v>4</v>
      </c>
      <c r="C17" s="471" t="s">
        <v>38</v>
      </c>
      <c r="D17" s="471"/>
      <c r="E17" s="471"/>
      <c r="F17" s="471"/>
      <c r="G17" s="471"/>
      <c r="H17" s="471"/>
      <c r="I17" s="471"/>
      <c r="J17" s="471"/>
      <c r="K17" s="471"/>
      <c r="L17" s="471"/>
      <c r="M17" s="125">
        <v>714</v>
      </c>
      <c r="N17" s="506"/>
      <c r="O17" s="506"/>
      <c r="P17" s="506"/>
      <c r="Q17" s="506"/>
      <c r="R17" s="125">
        <v>715</v>
      </c>
      <c r="S17" s="127"/>
      <c r="T17" s="48"/>
    </row>
    <row r="18" spans="2:20" x14ac:dyDescent="0.25">
      <c r="B18" s="49">
        <v>5</v>
      </c>
      <c r="C18" s="471" t="s">
        <v>39</v>
      </c>
      <c r="D18" s="471"/>
      <c r="E18" s="471"/>
      <c r="F18" s="471"/>
      <c r="G18" s="471"/>
      <c r="H18" s="471"/>
      <c r="I18" s="471"/>
      <c r="J18" s="471"/>
      <c r="K18" s="471"/>
      <c r="L18" s="471"/>
      <c r="M18" s="125">
        <v>515</v>
      </c>
      <c r="N18" s="506"/>
      <c r="O18" s="506"/>
      <c r="P18" s="506"/>
      <c r="Q18" s="506"/>
      <c r="R18" s="125">
        <v>587</v>
      </c>
      <c r="S18" s="127"/>
      <c r="T18" s="48"/>
    </row>
    <row r="19" spans="2:20" x14ac:dyDescent="0.25">
      <c r="B19" s="49">
        <v>6</v>
      </c>
      <c r="C19" s="471" t="s">
        <v>40</v>
      </c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125">
        <v>720</v>
      </c>
      <c r="S19" s="127"/>
      <c r="T19" s="48"/>
    </row>
    <row r="20" spans="2:20" x14ac:dyDescent="0.25">
      <c r="B20" s="503" t="s">
        <v>41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 t="s">
        <v>33</v>
      </c>
      <c r="N20" s="504"/>
      <c r="O20" s="504"/>
      <c r="P20" s="504"/>
      <c r="Q20" s="504"/>
      <c r="R20" s="504" t="s">
        <v>42</v>
      </c>
      <c r="S20" s="504"/>
      <c r="T20" s="47"/>
    </row>
    <row r="21" spans="2:20" x14ac:dyDescent="0.25">
      <c r="B21" s="49">
        <v>7</v>
      </c>
      <c r="C21" s="471" t="s">
        <v>43</v>
      </c>
      <c r="D21" s="471"/>
      <c r="E21" s="471"/>
      <c r="F21" s="471"/>
      <c r="G21" s="471"/>
      <c r="H21" s="471"/>
      <c r="I21" s="471"/>
      <c r="J21" s="471"/>
      <c r="K21" s="471"/>
      <c r="L21" s="471"/>
      <c r="M21" s="125">
        <v>503</v>
      </c>
      <c r="N21" s="541"/>
      <c r="O21" s="541"/>
      <c r="P21" s="541"/>
      <c r="Q21" s="541"/>
      <c r="R21" s="125">
        <v>502</v>
      </c>
      <c r="S21" s="129"/>
      <c r="T21" s="48" t="s">
        <v>44</v>
      </c>
    </row>
    <row r="22" spans="2:20" x14ac:dyDescent="0.25">
      <c r="B22" s="49">
        <v>8</v>
      </c>
      <c r="C22" s="471" t="s">
        <v>45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125">
        <v>763</v>
      </c>
      <c r="N22" s="506"/>
      <c r="O22" s="506"/>
      <c r="P22" s="506"/>
      <c r="Q22" s="506"/>
      <c r="R22" s="125">
        <v>764</v>
      </c>
      <c r="S22" s="129"/>
      <c r="T22" s="48" t="s">
        <v>44</v>
      </c>
    </row>
    <row r="23" spans="2:20" x14ac:dyDescent="0.25">
      <c r="B23" s="49">
        <v>9</v>
      </c>
      <c r="C23" s="471" t="s">
        <v>46</v>
      </c>
      <c r="D23" s="471"/>
      <c r="E23" s="471"/>
      <c r="F23" s="471"/>
      <c r="G23" s="471"/>
      <c r="H23" s="471"/>
      <c r="I23" s="471"/>
      <c r="J23" s="471"/>
      <c r="K23" s="471"/>
      <c r="L23" s="471"/>
      <c r="M23" s="125">
        <v>716</v>
      </c>
      <c r="N23" s="506"/>
      <c r="O23" s="506"/>
      <c r="P23" s="506"/>
      <c r="Q23" s="506"/>
      <c r="R23" s="125">
        <v>717</v>
      </c>
      <c r="S23" s="129"/>
      <c r="T23" s="48" t="s">
        <v>44</v>
      </c>
    </row>
    <row r="24" spans="2:20" x14ac:dyDescent="0.25">
      <c r="B24" s="49">
        <v>10</v>
      </c>
      <c r="C24" s="471" t="s">
        <v>47</v>
      </c>
      <c r="D24" s="471"/>
      <c r="E24" s="471"/>
      <c r="F24" s="471"/>
      <c r="G24" s="471"/>
      <c r="H24" s="471"/>
      <c r="I24" s="471"/>
      <c r="J24" s="471"/>
      <c r="K24" s="471"/>
      <c r="L24" s="471"/>
      <c r="M24" s="125">
        <v>110</v>
      </c>
      <c r="N24" s="541"/>
      <c r="O24" s="541"/>
      <c r="P24" s="541"/>
      <c r="Q24" s="541"/>
      <c r="R24" s="125">
        <v>111</v>
      </c>
      <c r="S24" s="129"/>
      <c r="T24" s="48" t="s">
        <v>44</v>
      </c>
    </row>
    <row r="25" spans="2:20" x14ac:dyDescent="0.25">
      <c r="B25" s="49">
        <v>11</v>
      </c>
      <c r="C25" s="471" t="s">
        <v>48</v>
      </c>
      <c r="D25" s="471"/>
      <c r="E25" s="471"/>
      <c r="F25" s="471"/>
      <c r="G25" s="471"/>
      <c r="H25" s="471"/>
      <c r="I25" s="471"/>
      <c r="J25" s="471"/>
      <c r="K25" s="471"/>
      <c r="L25" s="471"/>
      <c r="M25" s="125">
        <v>758</v>
      </c>
      <c r="N25" s="541"/>
      <c r="O25" s="541"/>
      <c r="P25" s="541"/>
      <c r="Q25" s="541"/>
      <c r="R25" s="125">
        <v>759</v>
      </c>
      <c r="S25" s="129"/>
      <c r="T25" s="48" t="s">
        <v>44</v>
      </c>
    </row>
    <row r="26" spans="2:20" x14ac:dyDescent="0.25">
      <c r="B26" s="49">
        <v>12</v>
      </c>
      <c r="C26" s="471" t="s">
        <v>49</v>
      </c>
      <c r="D26" s="471"/>
      <c r="E26" s="471"/>
      <c r="F26" s="471"/>
      <c r="G26" s="471"/>
      <c r="H26" s="471"/>
      <c r="I26" s="471"/>
      <c r="J26" s="471"/>
      <c r="K26" s="471"/>
      <c r="L26" s="471"/>
      <c r="M26" s="125">
        <v>512</v>
      </c>
      <c r="N26" s="541"/>
      <c r="O26" s="541"/>
      <c r="P26" s="541"/>
      <c r="Q26" s="541"/>
      <c r="R26" s="125">
        <v>513</v>
      </c>
      <c r="S26" s="129"/>
      <c r="T26" s="48" t="s">
        <v>44</v>
      </c>
    </row>
    <row r="27" spans="2:20" x14ac:dyDescent="0.25">
      <c r="B27" s="49">
        <v>13</v>
      </c>
      <c r="C27" s="471" t="s">
        <v>50</v>
      </c>
      <c r="D27" s="471"/>
      <c r="E27" s="471"/>
      <c r="F27" s="471"/>
      <c r="G27" s="471"/>
      <c r="H27" s="471"/>
      <c r="I27" s="471"/>
      <c r="J27" s="471"/>
      <c r="K27" s="471"/>
      <c r="L27" s="471"/>
      <c r="M27" s="125">
        <v>509</v>
      </c>
      <c r="N27" s="541"/>
      <c r="O27" s="541"/>
      <c r="P27" s="541"/>
      <c r="Q27" s="541"/>
      <c r="R27" s="125">
        <v>510</v>
      </c>
      <c r="S27" s="129"/>
      <c r="T27" s="48" t="s">
        <v>51</v>
      </c>
    </row>
    <row r="28" spans="2:20" x14ac:dyDescent="0.25">
      <c r="B28" s="49">
        <v>14</v>
      </c>
      <c r="C28" s="471" t="s">
        <v>52</v>
      </c>
      <c r="D28" s="471"/>
      <c r="E28" s="471"/>
      <c r="F28" s="471"/>
      <c r="G28" s="471"/>
      <c r="H28" s="471"/>
      <c r="I28" s="471"/>
      <c r="J28" s="471"/>
      <c r="K28" s="471"/>
      <c r="L28" s="471"/>
      <c r="M28" s="125">
        <v>708</v>
      </c>
      <c r="N28" s="541"/>
      <c r="O28" s="541"/>
      <c r="P28" s="541"/>
      <c r="Q28" s="541"/>
      <c r="R28" s="125">
        <v>709</v>
      </c>
      <c r="S28" s="129"/>
      <c r="T28" s="48" t="s">
        <v>51</v>
      </c>
    </row>
    <row r="29" spans="2:20" x14ac:dyDescent="0.25">
      <c r="B29" s="49">
        <v>15</v>
      </c>
      <c r="C29" s="471" t="s">
        <v>53</v>
      </c>
      <c r="D29" s="471"/>
      <c r="E29" s="471"/>
      <c r="F29" s="471"/>
      <c r="G29" s="471"/>
      <c r="H29" s="471"/>
      <c r="I29" s="471"/>
      <c r="J29" s="471"/>
      <c r="K29" s="471"/>
      <c r="L29" s="471"/>
      <c r="M29" s="125">
        <v>733</v>
      </c>
      <c r="N29" s="506"/>
      <c r="O29" s="506"/>
      <c r="P29" s="506"/>
      <c r="Q29" s="506"/>
      <c r="R29" s="125">
        <v>734</v>
      </c>
      <c r="S29" s="129"/>
      <c r="T29" s="48" t="s">
        <v>51</v>
      </c>
    </row>
    <row r="30" spans="2:20" x14ac:dyDescent="0.25">
      <c r="B30" s="49">
        <v>16</v>
      </c>
      <c r="C30" s="471" t="s">
        <v>54</v>
      </c>
      <c r="D30" s="471"/>
      <c r="E30" s="471"/>
      <c r="F30" s="471"/>
      <c r="G30" s="471"/>
      <c r="H30" s="471"/>
      <c r="I30" s="471"/>
      <c r="J30" s="471"/>
      <c r="K30" s="471"/>
      <c r="L30" s="471"/>
      <c r="M30" s="125">
        <v>516</v>
      </c>
      <c r="N30" s="506"/>
      <c r="O30" s="506"/>
      <c r="P30" s="506"/>
      <c r="Q30" s="506"/>
      <c r="R30" s="125">
        <v>517</v>
      </c>
      <c r="S30" s="129"/>
      <c r="T30" s="48" t="s">
        <v>44</v>
      </c>
    </row>
    <row r="31" spans="2:20" x14ac:dyDescent="0.25">
      <c r="B31" s="49">
        <v>17</v>
      </c>
      <c r="C31" s="471" t="s">
        <v>55</v>
      </c>
      <c r="D31" s="471"/>
      <c r="E31" s="471"/>
      <c r="F31" s="471"/>
      <c r="G31" s="471"/>
      <c r="H31" s="471"/>
      <c r="I31" s="471"/>
      <c r="J31" s="471"/>
      <c r="K31" s="471"/>
      <c r="L31" s="471"/>
      <c r="M31" s="125">
        <v>500</v>
      </c>
      <c r="N31" s="506"/>
      <c r="O31" s="506"/>
      <c r="P31" s="506"/>
      <c r="Q31" s="506"/>
      <c r="R31" s="125">
        <v>501</v>
      </c>
      <c r="S31" s="129"/>
      <c r="T31" s="48" t="s">
        <v>44</v>
      </c>
    </row>
    <row r="32" spans="2:20" x14ac:dyDescent="0.25">
      <c r="B32" s="49">
        <v>18</v>
      </c>
      <c r="C32" s="471" t="s">
        <v>56</v>
      </c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125">
        <v>154</v>
      </c>
      <c r="S32" s="129"/>
      <c r="T32" s="48" t="s">
        <v>44</v>
      </c>
    </row>
    <row r="33" spans="2:27" x14ac:dyDescent="0.25">
      <c r="B33" s="49">
        <v>19</v>
      </c>
      <c r="C33" s="471" t="s">
        <v>57</v>
      </c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125">
        <v>518</v>
      </c>
      <c r="S33" s="129"/>
      <c r="T33" s="48" t="s">
        <v>44</v>
      </c>
    </row>
    <row r="34" spans="2:27" x14ac:dyDescent="0.25">
      <c r="B34" s="49">
        <v>20</v>
      </c>
      <c r="C34" s="471" t="s">
        <v>58</v>
      </c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125">
        <v>713</v>
      </c>
      <c r="S34" s="129"/>
      <c r="T34" s="48" t="s">
        <v>44</v>
      </c>
    </row>
    <row r="35" spans="2:27" x14ac:dyDescent="0.25">
      <c r="B35" s="49">
        <v>21</v>
      </c>
      <c r="C35" s="471" t="s">
        <v>59</v>
      </c>
      <c r="D35" s="471"/>
      <c r="E35" s="471"/>
      <c r="F35" s="124" t="s">
        <v>60</v>
      </c>
      <c r="G35" s="125">
        <v>738</v>
      </c>
      <c r="H35" s="126"/>
      <c r="I35" s="124" t="s">
        <v>61</v>
      </c>
      <c r="J35" s="125">
        <v>739</v>
      </c>
      <c r="K35" s="506"/>
      <c r="L35" s="506"/>
      <c r="M35" s="506"/>
      <c r="N35" s="124" t="s">
        <v>62</v>
      </c>
      <c r="O35" s="125">
        <v>740</v>
      </c>
      <c r="P35" s="506"/>
      <c r="Q35" s="506"/>
      <c r="R35" s="125">
        <v>741</v>
      </c>
      <c r="S35" s="129"/>
      <c r="T35" s="48" t="s">
        <v>44</v>
      </c>
    </row>
    <row r="36" spans="2:27" x14ac:dyDescent="0.25">
      <c r="B36" s="117">
        <v>22</v>
      </c>
      <c r="C36" s="478" t="s">
        <v>63</v>
      </c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479"/>
      <c r="R36" s="118">
        <v>791</v>
      </c>
      <c r="S36" s="130"/>
      <c r="T36" s="48" t="s">
        <v>44</v>
      </c>
    </row>
    <row r="37" spans="2:27" ht="15.75" thickBot="1" x14ac:dyDescent="0.3">
      <c r="B37" s="10">
        <v>23</v>
      </c>
      <c r="C37" s="470" t="s">
        <v>64</v>
      </c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52">
        <v>538</v>
      </c>
      <c r="S37" s="50">
        <f>+S21+S22+S23+S24+S25+S26-S27-S28-S29+S30+S31+S32+S33+S34+S35+S36</f>
        <v>0</v>
      </c>
      <c r="T37" s="11" t="s">
        <v>65</v>
      </c>
    </row>
    <row r="38" spans="2:27" ht="15.75" thickBot="1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2:27" x14ac:dyDescent="0.25">
      <c r="B39" s="484" t="s">
        <v>66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6"/>
    </row>
    <row r="40" spans="2:27" ht="18" customHeight="1" x14ac:dyDescent="0.25">
      <c r="B40" s="518" t="s">
        <v>67</v>
      </c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47"/>
    </row>
    <row r="41" spans="2:27" ht="27" customHeight="1" x14ac:dyDescent="0.25">
      <c r="B41" s="503" t="s">
        <v>69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 t="s">
        <v>70</v>
      </c>
      <c r="N41" s="504"/>
      <c r="O41" s="504"/>
      <c r="P41" s="504"/>
      <c r="Q41" s="504"/>
      <c r="R41" s="504" t="s">
        <v>71</v>
      </c>
      <c r="S41" s="504"/>
      <c r="T41" s="505"/>
    </row>
    <row r="42" spans="2:27" x14ac:dyDescent="0.25">
      <c r="B42" s="49">
        <v>24</v>
      </c>
      <c r="C42" s="471" t="s">
        <v>74</v>
      </c>
      <c r="D42" s="471"/>
      <c r="E42" s="471"/>
      <c r="F42" s="471"/>
      <c r="G42" s="471"/>
      <c r="H42" s="471"/>
      <c r="I42" s="471"/>
      <c r="J42" s="471"/>
      <c r="K42" s="471"/>
      <c r="L42" s="471"/>
      <c r="M42" s="125">
        <v>511</v>
      </c>
      <c r="N42" s="601"/>
      <c r="O42" s="601"/>
      <c r="P42" s="601"/>
      <c r="Q42" s="601"/>
      <c r="R42" s="125">
        <v>514</v>
      </c>
      <c r="S42" s="277"/>
      <c r="T42" s="48"/>
      <c r="V42" s="77"/>
      <c r="W42" s="77"/>
      <c r="Y42" s="77"/>
      <c r="Z42" s="77"/>
      <c r="AA42" s="77"/>
    </row>
    <row r="43" spans="2:27" x14ac:dyDescent="0.25">
      <c r="B43" s="518" t="s">
        <v>75</v>
      </c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47"/>
    </row>
    <row r="44" spans="2:27" x14ac:dyDescent="0.25">
      <c r="B44" s="503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 t="s">
        <v>33</v>
      </c>
      <c r="N44" s="504"/>
      <c r="O44" s="504"/>
      <c r="P44" s="504"/>
      <c r="Q44" s="504"/>
      <c r="R44" s="504" t="s">
        <v>34</v>
      </c>
      <c r="S44" s="504"/>
      <c r="T44" s="505"/>
    </row>
    <row r="45" spans="2:27" x14ac:dyDescent="0.25">
      <c r="B45" s="49">
        <v>25</v>
      </c>
      <c r="C45" s="471" t="s">
        <v>78</v>
      </c>
      <c r="D45" s="471"/>
      <c r="E45" s="471"/>
      <c r="F45" s="471"/>
      <c r="G45" s="471"/>
      <c r="H45" s="471"/>
      <c r="I45" s="471"/>
      <c r="J45" s="471"/>
      <c r="K45" s="471"/>
      <c r="L45" s="471"/>
      <c r="M45" s="125">
        <v>564</v>
      </c>
      <c r="N45" s="600"/>
      <c r="O45" s="600"/>
      <c r="P45" s="600"/>
      <c r="Q45" s="600"/>
      <c r="R45" s="125">
        <v>521</v>
      </c>
      <c r="S45" s="277"/>
      <c r="T45" s="48"/>
      <c r="U45" s="78"/>
      <c r="V45" s="78"/>
      <c r="W45" s="78"/>
      <c r="X45" s="78"/>
      <c r="Y45" s="78"/>
    </row>
    <row r="46" spans="2:27" x14ac:dyDescent="0.25">
      <c r="B46" s="49">
        <v>26</v>
      </c>
      <c r="C46" s="471" t="s">
        <v>79</v>
      </c>
      <c r="D46" s="471"/>
      <c r="E46" s="471"/>
      <c r="F46" s="471"/>
      <c r="G46" s="471"/>
      <c r="H46" s="471"/>
      <c r="I46" s="471"/>
      <c r="J46" s="471"/>
      <c r="K46" s="471"/>
      <c r="L46" s="471"/>
      <c r="M46" s="125">
        <v>566</v>
      </c>
      <c r="N46" s="506"/>
      <c r="O46" s="506"/>
      <c r="P46" s="506"/>
      <c r="Q46" s="506"/>
      <c r="R46" s="125">
        <v>560</v>
      </c>
      <c r="S46" s="127"/>
      <c r="T46" s="48"/>
    </row>
    <row r="47" spans="2:27" x14ac:dyDescent="0.25">
      <c r="B47" s="49">
        <v>27</v>
      </c>
      <c r="C47" s="471" t="s">
        <v>80</v>
      </c>
      <c r="D47" s="471"/>
      <c r="E47" s="471"/>
      <c r="F47" s="471"/>
      <c r="G47" s="471"/>
      <c r="H47" s="471"/>
      <c r="I47" s="471"/>
      <c r="J47" s="471"/>
      <c r="K47" s="471"/>
      <c r="L47" s="471"/>
      <c r="M47" s="125">
        <v>584</v>
      </c>
      <c r="N47" s="541"/>
      <c r="O47" s="541"/>
      <c r="P47" s="541"/>
      <c r="Q47" s="541"/>
      <c r="R47" s="125">
        <v>562</v>
      </c>
      <c r="S47" s="132"/>
      <c r="T47" s="48"/>
    </row>
    <row r="48" spans="2:27" x14ac:dyDescent="0.25">
      <c r="B48" s="518" t="s">
        <v>81</v>
      </c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47"/>
    </row>
    <row r="49" spans="2:20" x14ac:dyDescent="0.25">
      <c r="B49" s="518" t="s">
        <v>82</v>
      </c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47"/>
    </row>
    <row r="50" spans="2:20" ht="30" customHeight="1" x14ac:dyDescent="0.25">
      <c r="B50" s="503"/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 t="s">
        <v>33</v>
      </c>
      <c r="N50" s="504"/>
      <c r="O50" s="504"/>
      <c r="P50" s="504"/>
      <c r="Q50" s="504"/>
      <c r="R50" s="504" t="s">
        <v>83</v>
      </c>
      <c r="S50" s="504"/>
      <c r="T50" s="505"/>
    </row>
    <row r="51" spans="2:20" x14ac:dyDescent="0.25">
      <c r="B51" s="49">
        <v>28</v>
      </c>
      <c r="C51" s="471" t="s">
        <v>84</v>
      </c>
      <c r="D51" s="471"/>
      <c r="E51" s="471"/>
      <c r="F51" s="471"/>
      <c r="G51" s="471"/>
      <c r="H51" s="471"/>
      <c r="I51" s="471"/>
      <c r="J51" s="471"/>
      <c r="K51" s="471"/>
      <c r="L51" s="471"/>
      <c r="M51" s="125">
        <v>519</v>
      </c>
      <c r="N51" s="598"/>
      <c r="O51" s="599"/>
      <c r="P51" s="599"/>
      <c r="Q51" s="599"/>
      <c r="R51" s="125">
        <v>520</v>
      </c>
      <c r="S51" s="277"/>
      <c r="T51" s="48" t="s">
        <v>44</v>
      </c>
    </row>
    <row r="52" spans="2:20" x14ac:dyDescent="0.25">
      <c r="B52" s="49">
        <v>29</v>
      </c>
      <c r="C52" s="471" t="s">
        <v>85</v>
      </c>
      <c r="D52" s="471"/>
      <c r="E52" s="471"/>
      <c r="F52" s="471"/>
      <c r="G52" s="471"/>
      <c r="H52" s="471"/>
      <c r="I52" s="471"/>
      <c r="J52" s="471"/>
      <c r="K52" s="471"/>
      <c r="L52" s="471"/>
      <c r="M52" s="125">
        <v>761</v>
      </c>
      <c r="N52" s="506"/>
      <c r="O52" s="506"/>
      <c r="P52" s="506"/>
      <c r="Q52" s="506"/>
      <c r="R52" s="125">
        <v>762</v>
      </c>
      <c r="S52" s="132"/>
      <c r="T52" s="48" t="s">
        <v>44</v>
      </c>
    </row>
    <row r="53" spans="2:20" x14ac:dyDescent="0.25">
      <c r="B53" s="49">
        <v>30</v>
      </c>
      <c r="C53" s="471" t="s">
        <v>86</v>
      </c>
      <c r="D53" s="471"/>
      <c r="E53" s="471"/>
      <c r="F53" s="471"/>
      <c r="G53" s="471"/>
      <c r="H53" s="471"/>
      <c r="I53" s="471"/>
      <c r="J53" s="471"/>
      <c r="K53" s="471"/>
      <c r="L53" s="471"/>
      <c r="M53" s="125">
        <v>765</v>
      </c>
      <c r="N53" s="506"/>
      <c r="O53" s="506"/>
      <c r="P53" s="506"/>
      <c r="Q53" s="506"/>
      <c r="R53" s="125">
        <v>766</v>
      </c>
      <c r="S53" s="132"/>
      <c r="T53" s="48" t="s">
        <v>44</v>
      </c>
    </row>
    <row r="54" spans="2:20" x14ac:dyDescent="0.25">
      <c r="B54" s="49">
        <v>31</v>
      </c>
      <c r="C54" s="471" t="s">
        <v>87</v>
      </c>
      <c r="D54" s="471"/>
      <c r="E54" s="471"/>
      <c r="F54" s="471"/>
      <c r="G54" s="471"/>
      <c r="H54" s="471"/>
      <c r="I54" s="471"/>
      <c r="J54" s="471"/>
      <c r="K54" s="471"/>
      <c r="L54" s="471"/>
      <c r="M54" s="125">
        <v>524</v>
      </c>
      <c r="N54" s="541"/>
      <c r="O54" s="541"/>
      <c r="P54" s="541"/>
      <c r="Q54" s="541"/>
      <c r="R54" s="125">
        <v>525</v>
      </c>
      <c r="S54" s="132"/>
      <c r="T54" s="48" t="s">
        <v>44</v>
      </c>
    </row>
    <row r="55" spans="2:20" x14ac:dyDescent="0.25">
      <c r="B55" s="49">
        <v>32</v>
      </c>
      <c r="C55" s="471" t="s">
        <v>89</v>
      </c>
      <c r="D55" s="471"/>
      <c r="E55" s="471"/>
      <c r="F55" s="471"/>
      <c r="G55" s="471"/>
      <c r="H55" s="471"/>
      <c r="I55" s="471"/>
      <c r="J55" s="471"/>
      <c r="K55" s="471"/>
      <c r="L55" s="471"/>
      <c r="M55" s="125">
        <v>527</v>
      </c>
      <c r="N55" s="541"/>
      <c r="O55" s="541"/>
      <c r="P55" s="541"/>
      <c r="Q55" s="541"/>
      <c r="R55" s="125">
        <v>528</v>
      </c>
      <c r="S55" s="132"/>
      <c r="T55" s="48" t="s">
        <v>51</v>
      </c>
    </row>
    <row r="56" spans="2:20" x14ac:dyDescent="0.25">
      <c r="B56" s="49">
        <v>33</v>
      </c>
      <c r="C56" s="471" t="s">
        <v>90</v>
      </c>
      <c r="D56" s="471"/>
      <c r="E56" s="471"/>
      <c r="F56" s="471"/>
      <c r="G56" s="471"/>
      <c r="H56" s="471"/>
      <c r="I56" s="471"/>
      <c r="J56" s="471"/>
      <c r="K56" s="471"/>
      <c r="L56" s="471"/>
      <c r="M56" s="125">
        <v>531</v>
      </c>
      <c r="N56" s="506"/>
      <c r="O56" s="506"/>
      <c r="P56" s="506"/>
      <c r="Q56" s="506"/>
      <c r="R56" s="125">
        <v>532</v>
      </c>
      <c r="S56" s="132"/>
      <c r="T56" s="48" t="s">
        <v>44</v>
      </c>
    </row>
    <row r="57" spans="2:20" x14ac:dyDescent="0.25">
      <c r="B57" s="518" t="s">
        <v>91</v>
      </c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47"/>
    </row>
    <row r="58" spans="2:20" ht="15" customHeight="1" x14ac:dyDescent="0.25">
      <c r="B58" s="49">
        <v>34</v>
      </c>
      <c r="C58" s="471" t="s">
        <v>92</v>
      </c>
      <c r="D58" s="471"/>
      <c r="E58" s="471"/>
      <c r="F58" s="471"/>
      <c r="G58" s="471"/>
      <c r="H58" s="471"/>
      <c r="I58" s="471"/>
      <c r="J58" s="471"/>
      <c r="K58" s="471"/>
      <c r="L58" s="471"/>
      <c r="M58" s="125">
        <v>534</v>
      </c>
      <c r="N58" s="506"/>
      <c r="O58" s="506"/>
      <c r="P58" s="506"/>
      <c r="Q58" s="506"/>
      <c r="R58" s="125">
        <v>535</v>
      </c>
      <c r="S58" s="132"/>
      <c r="T58" s="48" t="s">
        <v>44</v>
      </c>
    </row>
    <row r="59" spans="2:20" x14ac:dyDescent="0.25">
      <c r="B59" s="49">
        <v>35</v>
      </c>
      <c r="C59" s="471" t="s">
        <v>93</v>
      </c>
      <c r="D59" s="471"/>
      <c r="E59" s="471"/>
      <c r="F59" s="471"/>
      <c r="G59" s="471"/>
      <c r="H59" s="471"/>
      <c r="I59" s="471"/>
      <c r="J59" s="471"/>
      <c r="K59" s="471"/>
      <c r="L59" s="471"/>
      <c r="M59" s="125">
        <v>536</v>
      </c>
      <c r="N59" s="506"/>
      <c r="O59" s="506"/>
      <c r="P59" s="506"/>
      <c r="Q59" s="506"/>
      <c r="R59" s="125">
        <v>553</v>
      </c>
      <c r="S59" s="132"/>
      <c r="T59" s="48" t="s">
        <v>44</v>
      </c>
    </row>
    <row r="60" spans="2:20" x14ac:dyDescent="0.25">
      <c r="B60" s="49">
        <v>36</v>
      </c>
      <c r="C60" s="471" t="s">
        <v>94</v>
      </c>
      <c r="D60" s="471"/>
      <c r="E60" s="471"/>
      <c r="F60" s="471"/>
      <c r="G60" s="471"/>
      <c r="H60" s="471"/>
      <c r="I60" s="471"/>
      <c r="J60" s="471"/>
      <c r="K60" s="471"/>
      <c r="L60" s="471"/>
      <c r="M60" s="471"/>
      <c r="N60" s="471"/>
      <c r="O60" s="471"/>
      <c r="P60" s="471"/>
      <c r="Q60" s="471"/>
      <c r="R60" s="125">
        <v>504</v>
      </c>
      <c r="S60" s="133"/>
      <c r="T60" s="48" t="s">
        <v>44</v>
      </c>
    </row>
    <row r="61" spans="2:20" x14ac:dyDescent="0.25">
      <c r="B61" s="49">
        <v>37</v>
      </c>
      <c r="C61" s="471" t="s">
        <v>95</v>
      </c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125">
        <v>593</v>
      </c>
      <c r="S61" s="132"/>
      <c r="T61" s="48" t="s">
        <v>51</v>
      </c>
    </row>
    <row r="62" spans="2:20" x14ac:dyDescent="0.25">
      <c r="B62" s="49">
        <v>38</v>
      </c>
      <c r="C62" s="471" t="s">
        <v>96</v>
      </c>
      <c r="D62" s="471"/>
      <c r="E62" s="471"/>
      <c r="F62" s="471"/>
      <c r="G62" s="471"/>
      <c r="H62" s="471"/>
      <c r="I62" s="471"/>
      <c r="J62" s="471"/>
      <c r="K62" s="471"/>
      <c r="L62" s="471"/>
      <c r="M62" s="471"/>
      <c r="N62" s="471"/>
      <c r="O62" s="471"/>
      <c r="P62" s="471"/>
      <c r="Q62" s="471"/>
      <c r="R62" s="125">
        <v>594</v>
      </c>
      <c r="S62" s="132"/>
      <c r="T62" s="48" t="s">
        <v>51</v>
      </c>
    </row>
    <row r="63" spans="2:20" x14ac:dyDescent="0.25">
      <c r="B63" s="49">
        <v>39</v>
      </c>
      <c r="C63" s="471" t="s">
        <v>97</v>
      </c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1"/>
      <c r="R63" s="125">
        <v>592</v>
      </c>
      <c r="S63" s="132"/>
      <c r="T63" s="48" t="s">
        <v>51</v>
      </c>
    </row>
    <row r="64" spans="2:20" x14ac:dyDescent="0.25">
      <c r="B64" s="49">
        <v>40</v>
      </c>
      <c r="C64" s="471" t="s">
        <v>98</v>
      </c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125">
        <v>539</v>
      </c>
      <c r="S64" s="132"/>
      <c r="T64" s="48" t="s">
        <v>51</v>
      </c>
    </row>
    <row r="65" spans="2:20" x14ac:dyDescent="0.25">
      <c r="B65" s="49">
        <v>41</v>
      </c>
      <c r="C65" s="471" t="s">
        <v>99</v>
      </c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1"/>
      <c r="R65" s="125">
        <v>718</v>
      </c>
      <c r="S65" s="132"/>
      <c r="T65" s="48" t="s">
        <v>51</v>
      </c>
    </row>
    <row r="66" spans="2:20" x14ac:dyDescent="0.25">
      <c r="B66" s="49">
        <v>42</v>
      </c>
      <c r="C66" s="471" t="s">
        <v>100</v>
      </c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71"/>
      <c r="O66" s="471"/>
      <c r="P66" s="471"/>
      <c r="Q66" s="471"/>
      <c r="R66" s="125">
        <v>790</v>
      </c>
      <c r="S66" s="132"/>
      <c r="T66" s="48" t="s">
        <v>51</v>
      </c>
    </row>
    <row r="67" spans="2:20" x14ac:dyDescent="0.25">
      <c r="B67" s="49">
        <v>43</v>
      </c>
      <c r="C67" s="471" t="s">
        <v>101</v>
      </c>
      <c r="D67" s="471"/>
      <c r="E67" s="471"/>
      <c r="F67" s="471"/>
      <c r="G67" s="471"/>
      <c r="H67" s="471"/>
      <c r="I67" s="471"/>
      <c r="J67" s="471"/>
      <c r="K67" s="471"/>
      <c r="L67" s="471"/>
      <c r="M67" s="471"/>
      <c r="N67" s="471"/>
      <c r="O67" s="471"/>
      <c r="P67" s="471"/>
      <c r="Q67" s="471"/>
      <c r="R67" s="125">
        <v>164</v>
      </c>
      <c r="S67" s="132"/>
      <c r="T67" s="48" t="s">
        <v>44</v>
      </c>
    </row>
    <row r="68" spans="2:20" x14ac:dyDescent="0.25">
      <c r="B68" s="518" t="s">
        <v>102</v>
      </c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47"/>
    </row>
    <row r="69" spans="2:20" ht="32.25" customHeight="1" x14ac:dyDescent="0.25">
      <c r="B69" s="503"/>
      <c r="C69" s="504"/>
      <c r="D69" s="504"/>
      <c r="E69" s="504"/>
      <c r="F69" s="504"/>
      <c r="G69" s="504"/>
      <c r="H69" s="504"/>
      <c r="I69" s="504"/>
      <c r="J69" s="504" t="s">
        <v>103</v>
      </c>
      <c r="K69" s="504"/>
      <c r="L69" s="504"/>
      <c r="M69" s="504"/>
      <c r="N69" s="504" t="s">
        <v>104</v>
      </c>
      <c r="O69" s="504"/>
      <c r="P69" s="504"/>
      <c r="Q69" s="504"/>
      <c r="R69" s="504"/>
      <c r="S69" s="504"/>
      <c r="T69" s="505"/>
    </row>
    <row r="70" spans="2:20" x14ac:dyDescent="0.25">
      <c r="B70" s="526">
        <v>44</v>
      </c>
      <c r="C70" s="471" t="s">
        <v>105</v>
      </c>
      <c r="D70" s="471"/>
      <c r="E70" s="471"/>
      <c r="F70" s="471"/>
      <c r="G70" s="471"/>
      <c r="H70" s="471"/>
      <c r="I70" s="471"/>
      <c r="J70" s="516">
        <v>730</v>
      </c>
      <c r="K70" s="506"/>
      <c r="L70" s="506"/>
      <c r="M70" s="506"/>
      <c r="N70" s="124" t="s">
        <v>61</v>
      </c>
      <c r="O70" s="125">
        <v>742</v>
      </c>
      <c r="P70" s="506"/>
      <c r="Q70" s="506"/>
      <c r="R70" s="516">
        <v>127</v>
      </c>
      <c r="S70" s="540"/>
      <c r="T70" s="525" t="s">
        <v>44</v>
      </c>
    </row>
    <row r="71" spans="2:20" x14ac:dyDescent="0.25">
      <c r="B71" s="526"/>
      <c r="C71" s="471"/>
      <c r="D71" s="471"/>
      <c r="E71" s="471"/>
      <c r="F71" s="471"/>
      <c r="G71" s="471"/>
      <c r="H71" s="471"/>
      <c r="I71" s="471"/>
      <c r="J71" s="516"/>
      <c r="K71" s="506"/>
      <c r="L71" s="506"/>
      <c r="M71" s="506"/>
      <c r="N71" s="124" t="s">
        <v>62</v>
      </c>
      <c r="O71" s="125">
        <v>743</v>
      </c>
      <c r="P71" s="506"/>
      <c r="Q71" s="506"/>
      <c r="R71" s="516"/>
      <c r="S71" s="540"/>
      <c r="T71" s="525"/>
    </row>
    <row r="72" spans="2:20" x14ac:dyDescent="0.25">
      <c r="B72" s="526">
        <v>45</v>
      </c>
      <c r="C72" s="471" t="s">
        <v>106</v>
      </c>
      <c r="D72" s="471"/>
      <c r="E72" s="471"/>
      <c r="F72" s="471"/>
      <c r="G72" s="471"/>
      <c r="H72" s="471"/>
      <c r="I72" s="471"/>
      <c r="J72" s="516">
        <v>729</v>
      </c>
      <c r="K72" s="506"/>
      <c r="L72" s="506"/>
      <c r="M72" s="506"/>
      <c r="N72" s="124" t="s">
        <v>61</v>
      </c>
      <c r="O72" s="125">
        <v>744</v>
      </c>
      <c r="P72" s="506"/>
      <c r="Q72" s="506"/>
      <c r="R72" s="516">
        <v>544</v>
      </c>
      <c r="S72" s="540"/>
      <c r="T72" s="525" t="s">
        <v>44</v>
      </c>
    </row>
    <row r="73" spans="2:20" x14ac:dyDescent="0.25">
      <c r="B73" s="526"/>
      <c r="C73" s="471"/>
      <c r="D73" s="471"/>
      <c r="E73" s="471"/>
      <c r="F73" s="471"/>
      <c r="G73" s="471"/>
      <c r="H73" s="471"/>
      <c r="I73" s="471"/>
      <c r="J73" s="516"/>
      <c r="K73" s="506"/>
      <c r="L73" s="506"/>
      <c r="M73" s="506"/>
      <c r="N73" s="124" t="s">
        <v>62</v>
      </c>
      <c r="O73" s="125">
        <v>745</v>
      </c>
      <c r="P73" s="506"/>
      <c r="Q73" s="506"/>
      <c r="R73" s="516"/>
      <c r="S73" s="540"/>
      <c r="T73" s="525"/>
    </row>
    <row r="74" spans="2:20" x14ac:dyDescent="0.25">
      <c r="B74" s="49">
        <v>46</v>
      </c>
      <c r="C74" s="471" t="s">
        <v>107</v>
      </c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125">
        <v>523</v>
      </c>
      <c r="S74" s="127"/>
      <c r="T74" s="48" t="s">
        <v>44</v>
      </c>
    </row>
    <row r="75" spans="2:20" x14ac:dyDescent="0.25">
      <c r="B75" s="49">
        <v>47</v>
      </c>
      <c r="C75" s="471" t="s">
        <v>108</v>
      </c>
      <c r="D75" s="471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125">
        <v>712</v>
      </c>
      <c r="S75" s="127"/>
      <c r="T75" s="48" t="s">
        <v>44</v>
      </c>
    </row>
    <row r="76" spans="2:20" x14ac:dyDescent="0.25">
      <c r="B76" s="49">
        <v>48</v>
      </c>
      <c r="C76" s="471" t="s">
        <v>109</v>
      </c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125">
        <v>757</v>
      </c>
      <c r="S76" s="127"/>
      <c r="T76" s="48" t="s">
        <v>44</v>
      </c>
    </row>
    <row r="77" spans="2:20" ht="15.75" thickBot="1" x14ac:dyDescent="0.3">
      <c r="B77" s="10">
        <v>49</v>
      </c>
      <c r="C77" s="470" t="s">
        <v>110</v>
      </c>
      <c r="D77" s="470"/>
      <c r="E77" s="470"/>
      <c r="F77" s="470"/>
      <c r="G77" s="470"/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52">
        <v>537</v>
      </c>
      <c r="S77" s="12">
        <f>+S51+S52+S53+S54+S56-S55+S58+S59+S60+S67-S61-S62-S63-S64-S65+S70+S72+S74+S75+S76-S66</f>
        <v>0</v>
      </c>
      <c r="T77" s="11" t="s">
        <v>65</v>
      </c>
    </row>
    <row r="78" spans="2:20" ht="15.75" thickBot="1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5">
      <c r="B79" s="484" t="s">
        <v>111</v>
      </c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 t="s">
        <v>112</v>
      </c>
      <c r="S79" s="485"/>
      <c r="T79" s="498"/>
    </row>
    <row r="80" spans="2:20" ht="30" customHeight="1" thickBot="1" x14ac:dyDescent="0.3">
      <c r="B80" s="10">
        <v>50</v>
      </c>
      <c r="C80" s="470" t="s">
        <v>113</v>
      </c>
      <c r="D80" s="470"/>
      <c r="E80" s="470"/>
      <c r="F80" s="52">
        <v>77</v>
      </c>
      <c r="G80" s="539">
        <f>IF(S37&gt;S77,0,S77-S37)</f>
        <v>0</v>
      </c>
      <c r="H80" s="539"/>
      <c r="I80" s="52">
        <v>756</v>
      </c>
      <c r="J80" s="470" t="s">
        <v>114</v>
      </c>
      <c r="K80" s="470"/>
      <c r="L80" s="13"/>
      <c r="M80" s="52">
        <v>755</v>
      </c>
      <c r="N80" s="539">
        <f>IF(L80="SI",S37-S77,0)</f>
        <v>0</v>
      </c>
      <c r="O80" s="539"/>
      <c r="P80" s="470" t="s">
        <v>115</v>
      </c>
      <c r="Q80" s="470"/>
      <c r="R80" s="52">
        <v>89</v>
      </c>
      <c r="S80" s="50">
        <f>IF(L80="SI",0,IF(S37&gt;S77,S37-S77,0))</f>
        <v>0</v>
      </c>
      <c r="T80" s="11" t="s">
        <v>44</v>
      </c>
    </row>
    <row r="81" spans="2:20" x14ac:dyDescent="0.25">
      <c r="B81" s="484" t="s">
        <v>116</v>
      </c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  <c r="N81" s="485"/>
      <c r="O81" s="485"/>
      <c r="P81" s="485"/>
      <c r="Q81" s="485"/>
      <c r="R81" s="485" t="s">
        <v>112</v>
      </c>
      <c r="S81" s="485"/>
      <c r="T81" s="498"/>
    </row>
    <row r="82" spans="2:20" ht="39" customHeight="1" thickBot="1" x14ac:dyDescent="0.3">
      <c r="B82" s="49">
        <v>51</v>
      </c>
      <c r="C82" s="471" t="s">
        <v>117</v>
      </c>
      <c r="D82" s="471"/>
      <c r="E82" s="471"/>
      <c r="F82" s="125">
        <v>772</v>
      </c>
      <c r="G82" s="527"/>
      <c r="H82" s="527"/>
      <c r="I82" s="125">
        <v>773</v>
      </c>
      <c r="J82" s="471" t="s">
        <v>118</v>
      </c>
      <c r="K82" s="471"/>
      <c r="L82" s="136"/>
      <c r="M82" s="125">
        <v>774</v>
      </c>
      <c r="N82" s="527"/>
      <c r="O82" s="527"/>
      <c r="P82" s="471" t="s">
        <v>119</v>
      </c>
      <c r="Q82" s="471"/>
      <c r="R82" s="125">
        <v>775</v>
      </c>
      <c r="S82" s="135"/>
      <c r="T82" s="48" t="s">
        <v>44</v>
      </c>
    </row>
    <row r="83" spans="2:20" ht="27" customHeight="1" x14ac:dyDescent="0.25">
      <c r="B83" s="484" t="s">
        <v>116</v>
      </c>
      <c r="C83" s="485"/>
      <c r="D83" s="485"/>
      <c r="E83" s="485"/>
      <c r="F83" s="485"/>
      <c r="G83" s="485"/>
      <c r="H83" s="485"/>
      <c r="I83" s="485"/>
      <c r="J83" s="485"/>
      <c r="K83" s="485"/>
      <c r="L83" s="485"/>
      <c r="M83" s="485"/>
      <c r="N83" s="485"/>
      <c r="O83" s="485"/>
      <c r="P83" s="485"/>
      <c r="Q83" s="485"/>
      <c r="R83" s="485" t="s">
        <v>112</v>
      </c>
      <c r="S83" s="485"/>
      <c r="T83" s="498"/>
    </row>
    <row r="84" spans="2:20" ht="51" customHeight="1" x14ac:dyDescent="0.25">
      <c r="B84" s="49">
        <v>52</v>
      </c>
      <c r="C84" s="471" t="s">
        <v>120</v>
      </c>
      <c r="D84" s="471"/>
      <c r="E84" s="471"/>
      <c r="F84" s="125">
        <v>777</v>
      </c>
      <c r="G84" s="527"/>
      <c r="H84" s="527"/>
      <c r="I84" s="125">
        <v>778</v>
      </c>
      <c r="J84" s="471" t="s">
        <v>121</v>
      </c>
      <c r="K84" s="471"/>
      <c r="L84" s="136"/>
      <c r="M84" s="125">
        <v>779</v>
      </c>
      <c r="N84" s="527"/>
      <c r="O84" s="527"/>
      <c r="P84" s="471" t="s">
        <v>119</v>
      </c>
      <c r="Q84" s="471"/>
      <c r="R84" s="125">
        <v>780</v>
      </c>
      <c r="S84" s="137"/>
      <c r="T84" s="48" t="s">
        <v>44</v>
      </c>
    </row>
    <row r="85" spans="2:20" x14ac:dyDescent="0.25">
      <c r="B85" s="49">
        <v>53</v>
      </c>
      <c r="C85" s="471" t="s">
        <v>122</v>
      </c>
      <c r="D85" s="471"/>
      <c r="E85" s="471"/>
      <c r="F85" s="125">
        <v>782</v>
      </c>
      <c r="G85" s="527"/>
      <c r="H85" s="527"/>
      <c r="I85" s="528" t="s">
        <v>123</v>
      </c>
      <c r="J85" s="529"/>
      <c r="K85" s="529"/>
      <c r="L85" s="529"/>
      <c r="M85" s="529"/>
      <c r="N85" s="529"/>
      <c r="O85" s="529"/>
      <c r="P85" s="529"/>
      <c r="Q85" s="530"/>
      <c r="R85" s="125">
        <v>783</v>
      </c>
      <c r="S85" s="137"/>
      <c r="T85" s="48" t="s">
        <v>44</v>
      </c>
    </row>
    <row r="86" spans="2:20" x14ac:dyDescent="0.25">
      <c r="B86" s="49">
        <v>54</v>
      </c>
      <c r="C86" s="471" t="s">
        <v>124</v>
      </c>
      <c r="D86" s="471"/>
      <c r="E86" s="471"/>
      <c r="F86" s="125">
        <v>784</v>
      </c>
      <c r="G86" s="527"/>
      <c r="H86" s="527"/>
      <c r="I86" s="528" t="s">
        <v>123</v>
      </c>
      <c r="J86" s="529"/>
      <c r="K86" s="529"/>
      <c r="L86" s="529"/>
      <c r="M86" s="529"/>
      <c r="N86" s="529"/>
      <c r="O86" s="529"/>
      <c r="P86" s="529"/>
      <c r="Q86" s="530"/>
      <c r="R86" s="125">
        <v>785</v>
      </c>
      <c r="S86" s="137"/>
      <c r="T86" s="48" t="s">
        <v>44</v>
      </c>
    </row>
    <row r="87" spans="2:20" x14ac:dyDescent="0.25">
      <c r="B87" s="49">
        <v>55</v>
      </c>
      <c r="C87" s="471" t="s">
        <v>125</v>
      </c>
      <c r="D87" s="471"/>
      <c r="E87" s="471"/>
      <c r="F87" s="125">
        <v>786</v>
      </c>
      <c r="G87" s="527"/>
      <c r="H87" s="527"/>
      <c r="I87" s="528" t="s">
        <v>123</v>
      </c>
      <c r="J87" s="529"/>
      <c r="K87" s="529"/>
      <c r="L87" s="529"/>
      <c r="M87" s="529"/>
      <c r="N87" s="529"/>
      <c r="O87" s="529"/>
      <c r="P87" s="529"/>
      <c r="Q87" s="530"/>
      <c r="R87" s="125">
        <v>787</v>
      </c>
      <c r="S87" s="137"/>
      <c r="T87" s="48" t="s">
        <v>44</v>
      </c>
    </row>
    <row r="88" spans="2:20" ht="15.75" thickBot="1" x14ac:dyDescent="0.3">
      <c r="B88" s="14">
        <v>56</v>
      </c>
      <c r="C88" s="472" t="s">
        <v>126</v>
      </c>
      <c r="D88" s="472"/>
      <c r="E88" s="472"/>
      <c r="F88" s="15">
        <v>788</v>
      </c>
      <c r="G88" s="531"/>
      <c r="H88" s="531"/>
      <c r="I88" s="532" t="s">
        <v>123</v>
      </c>
      <c r="J88" s="533"/>
      <c r="K88" s="533"/>
      <c r="L88" s="533"/>
      <c r="M88" s="533"/>
      <c r="N88" s="533"/>
      <c r="O88" s="533"/>
      <c r="P88" s="533"/>
      <c r="Q88" s="534"/>
      <c r="R88" s="15">
        <v>789</v>
      </c>
      <c r="S88" s="16"/>
      <c r="T88" s="17" t="s">
        <v>44</v>
      </c>
    </row>
    <row r="89" spans="2:20" ht="15.75" thickBot="1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0" x14ac:dyDescent="0.25">
      <c r="B90" s="18">
        <v>57</v>
      </c>
      <c r="C90" s="473" t="s">
        <v>127</v>
      </c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8">
        <v>760</v>
      </c>
      <c r="S90" s="19"/>
      <c r="T90" s="20" t="s">
        <v>44</v>
      </c>
    </row>
    <row r="91" spans="2:20" ht="15.75" thickBot="1" x14ac:dyDescent="0.3">
      <c r="B91" s="14">
        <v>58</v>
      </c>
      <c r="C91" s="472" t="s">
        <v>128</v>
      </c>
      <c r="D91" s="472"/>
      <c r="E91" s="472"/>
      <c r="F91" s="472"/>
      <c r="G91" s="472"/>
      <c r="H91" s="472"/>
      <c r="I91" s="472"/>
      <c r="J91" s="472"/>
      <c r="K91" s="472"/>
      <c r="L91" s="472"/>
      <c r="M91" s="472"/>
      <c r="N91" s="472"/>
      <c r="O91" s="472"/>
      <c r="P91" s="472"/>
      <c r="Q91" s="472"/>
      <c r="R91" s="15">
        <v>767</v>
      </c>
      <c r="S91" s="21"/>
      <c r="T91" s="17" t="s">
        <v>44</v>
      </c>
    </row>
    <row r="92" spans="2:20" ht="15.75" thickBot="1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2:20" x14ac:dyDescent="0.25">
      <c r="B93" s="484" t="s">
        <v>129</v>
      </c>
      <c r="C93" s="485"/>
      <c r="D93" s="485"/>
      <c r="E93" s="485"/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P93" s="485"/>
      <c r="Q93" s="485"/>
      <c r="R93" s="485"/>
      <c r="S93" s="485"/>
      <c r="T93" s="46"/>
    </row>
    <row r="94" spans="2:20" x14ac:dyDescent="0.25">
      <c r="B94" s="518" t="s">
        <v>130</v>
      </c>
      <c r="C94" s="519"/>
      <c r="D94" s="519"/>
      <c r="E94" s="519"/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47"/>
    </row>
    <row r="95" spans="2:20" x14ac:dyDescent="0.25">
      <c r="B95" s="49">
        <v>59</v>
      </c>
      <c r="C95" s="471" t="s">
        <v>131</v>
      </c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125">
        <v>50</v>
      </c>
      <c r="S95" s="127"/>
      <c r="T95" s="48" t="s">
        <v>44</v>
      </c>
    </row>
    <row r="96" spans="2:20" x14ac:dyDescent="0.25">
      <c r="B96" s="526">
        <v>60</v>
      </c>
      <c r="C96" s="471" t="s">
        <v>132</v>
      </c>
      <c r="D96" s="471"/>
      <c r="E96" s="471"/>
      <c r="F96" s="471"/>
      <c r="G96" s="471" t="s">
        <v>133</v>
      </c>
      <c r="H96" s="471"/>
      <c r="I96" s="516">
        <v>751</v>
      </c>
      <c r="J96" s="471" t="s">
        <v>134</v>
      </c>
      <c r="K96" s="471"/>
      <c r="L96" s="471"/>
      <c r="M96" s="516">
        <v>735</v>
      </c>
      <c r="N96" s="471" t="s">
        <v>135</v>
      </c>
      <c r="O96" s="471"/>
      <c r="P96" s="471" t="s">
        <v>136</v>
      </c>
      <c r="Q96" s="471"/>
      <c r="R96" s="516">
        <v>48</v>
      </c>
      <c r="S96" s="524"/>
      <c r="T96" s="525" t="s">
        <v>44</v>
      </c>
    </row>
    <row r="97" spans="2:20" x14ac:dyDescent="0.25">
      <c r="B97" s="526"/>
      <c r="C97" s="471"/>
      <c r="D97" s="471"/>
      <c r="E97" s="471"/>
      <c r="F97" s="471"/>
      <c r="G97" s="471"/>
      <c r="H97" s="471"/>
      <c r="I97" s="516"/>
      <c r="J97" s="506"/>
      <c r="K97" s="506"/>
      <c r="L97" s="506"/>
      <c r="M97" s="516"/>
      <c r="N97" s="506"/>
      <c r="O97" s="506"/>
      <c r="P97" s="471"/>
      <c r="Q97" s="471"/>
      <c r="R97" s="516"/>
      <c r="S97" s="524"/>
      <c r="T97" s="525"/>
    </row>
    <row r="98" spans="2:20" x14ac:dyDescent="0.25">
      <c r="B98" s="49">
        <v>61</v>
      </c>
      <c r="C98" s="471" t="s">
        <v>498</v>
      </c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125">
        <v>151</v>
      </c>
      <c r="S98" s="132"/>
      <c r="T98" s="48" t="s">
        <v>44</v>
      </c>
    </row>
    <row r="99" spans="2:20" x14ac:dyDescent="0.25">
      <c r="B99" s="49">
        <v>62</v>
      </c>
      <c r="C99" s="471" t="s">
        <v>137</v>
      </c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125">
        <v>153</v>
      </c>
      <c r="S99" s="132"/>
      <c r="T99" s="48" t="s">
        <v>44</v>
      </c>
    </row>
    <row r="100" spans="2:20" ht="15" customHeight="1" x14ac:dyDescent="0.25">
      <c r="B100" s="49"/>
      <c r="C100" s="545" t="s">
        <v>475</v>
      </c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7"/>
      <c r="R100" s="188">
        <v>49</v>
      </c>
      <c r="S100" s="189"/>
      <c r="T100" s="48"/>
    </row>
    <row r="101" spans="2:20" x14ac:dyDescent="0.25">
      <c r="B101" s="49"/>
      <c r="C101" s="545" t="s">
        <v>476</v>
      </c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6"/>
      <c r="Q101" s="547"/>
      <c r="R101" s="188">
        <v>155</v>
      </c>
      <c r="S101" s="189"/>
      <c r="T101" s="48"/>
    </row>
    <row r="102" spans="2:20" x14ac:dyDescent="0.25">
      <c r="B102" s="49">
        <v>63</v>
      </c>
      <c r="C102" s="471" t="s">
        <v>138</v>
      </c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125">
        <v>54</v>
      </c>
      <c r="S102" s="132"/>
      <c r="T102" s="48" t="s">
        <v>44</v>
      </c>
    </row>
    <row r="103" spans="2:20" x14ac:dyDescent="0.25">
      <c r="B103" s="49">
        <v>64</v>
      </c>
      <c r="C103" s="471" t="s">
        <v>139</v>
      </c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125">
        <v>56</v>
      </c>
      <c r="S103" s="132"/>
      <c r="T103" s="48" t="s">
        <v>44</v>
      </c>
    </row>
    <row r="104" spans="2:20" x14ac:dyDescent="0.25">
      <c r="B104" s="49">
        <v>65</v>
      </c>
      <c r="C104" s="471" t="s">
        <v>140</v>
      </c>
      <c r="D104" s="471"/>
      <c r="E104" s="471"/>
      <c r="F104" s="471"/>
      <c r="G104" s="471"/>
      <c r="H104" s="471"/>
      <c r="I104" s="471"/>
      <c r="J104" s="471"/>
      <c r="K104" s="471"/>
      <c r="L104" s="471"/>
      <c r="M104" s="471"/>
      <c r="N104" s="471"/>
      <c r="O104" s="471"/>
      <c r="P104" s="471"/>
      <c r="Q104" s="471"/>
      <c r="R104" s="125">
        <v>588</v>
      </c>
      <c r="S104" s="132"/>
      <c r="T104" s="48" t="s">
        <v>44</v>
      </c>
    </row>
    <row r="105" spans="2:20" x14ac:dyDescent="0.25">
      <c r="B105" s="49">
        <v>66</v>
      </c>
      <c r="C105" s="471" t="s">
        <v>141</v>
      </c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125">
        <v>589</v>
      </c>
      <c r="S105" s="132"/>
      <c r="T105" s="48" t="s">
        <v>44</v>
      </c>
    </row>
    <row r="106" spans="2:20" x14ac:dyDescent="0.25">
      <c r="B106" s="518" t="s">
        <v>142</v>
      </c>
      <c r="C106" s="519"/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47"/>
    </row>
    <row r="107" spans="2:20" ht="30" customHeight="1" x14ac:dyDescent="0.25">
      <c r="B107" s="49"/>
      <c r="C107" s="125"/>
      <c r="D107" s="516" t="s">
        <v>143</v>
      </c>
      <c r="E107" s="516"/>
      <c r="F107" s="516"/>
      <c r="G107" s="516" t="s">
        <v>144</v>
      </c>
      <c r="H107" s="516"/>
      <c r="I107" s="516" t="s">
        <v>145</v>
      </c>
      <c r="J107" s="516"/>
      <c r="K107" s="516"/>
      <c r="L107" s="516"/>
      <c r="M107" s="516" t="s">
        <v>146</v>
      </c>
      <c r="N107" s="516"/>
      <c r="O107" s="516" t="s">
        <v>147</v>
      </c>
      <c r="P107" s="516"/>
      <c r="Q107" s="516"/>
      <c r="R107" s="516" t="s">
        <v>148</v>
      </c>
      <c r="S107" s="516"/>
      <c r="T107" s="517"/>
    </row>
    <row r="108" spans="2:20" ht="30" x14ac:dyDescent="0.25">
      <c r="B108" s="49">
        <v>67</v>
      </c>
      <c r="C108" s="138" t="s">
        <v>149</v>
      </c>
      <c r="D108" s="516">
        <v>750</v>
      </c>
      <c r="E108" s="516"/>
      <c r="F108" s="139"/>
      <c r="G108" s="125">
        <v>30</v>
      </c>
      <c r="H108" s="129">
        <v>0</v>
      </c>
      <c r="I108" s="125">
        <v>563</v>
      </c>
      <c r="J108" s="585"/>
      <c r="K108" s="585"/>
      <c r="L108" s="585"/>
      <c r="M108" s="125">
        <v>115</v>
      </c>
      <c r="N108" s="128"/>
      <c r="O108" s="125">
        <v>68</v>
      </c>
      <c r="P108" s="506"/>
      <c r="Q108" s="506"/>
      <c r="R108" s="125">
        <v>62</v>
      </c>
      <c r="S108" s="134">
        <f>IF(F108="SI",0,ROUND(J108*N108%,0))</f>
        <v>0</v>
      </c>
      <c r="T108" s="48" t="s">
        <v>44</v>
      </c>
    </row>
    <row r="109" spans="2:20" x14ac:dyDescent="0.25">
      <c r="B109" s="49">
        <v>68</v>
      </c>
      <c r="C109" s="471" t="s">
        <v>150</v>
      </c>
      <c r="D109" s="471"/>
      <c r="E109" s="471"/>
      <c r="F109" s="471"/>
      <c r="G109" s="125">
        <v>565</v>
      </c>
      <c r="H109" s="126"/>
      <c r="I109" s="125">
        <v>120</v>
      </c>
      <c r="J109" s="506"/>
      <c r="K109" s="506"/>
      <c r="L109" s="506"/>
      <c r="M109" s="125">
        <v>542</v>
      </c>
      <c r="N109" s="126"/>
      <c r="O109" s="125">
        <v>122</v>
      </c>
      <c r="P109" s="506"/>
      <c r="Q109" s="506"/>
      <c r="R109" s="125">
        <v>123</v>
      </c>
      <c r="S109" s="134"/>
      <c r="T109" s="48" t="s">
        <v>44</v>
      </c>
    </row>
    <row r="110" spans="2:20" x14ac:dyDescent="0.25">
      <c r="B110" s="49">
        <v>69</v>
      </c>
      <c r="C110" s="471" t="s">
        <v>151</v>
      </c>
      <c r="D110" s="471"/>
      <c r="E110" s="471"/>
      <c r="F110" s="471"/>
      <c r="G110" s="125">
        <v>700</v>
      </c>
      <c r="H110" s="126"/>
      <c r="I110" s="125">
        <v>701</v>
      </c>
      <c r="J110" s="506"/>
      <c r="K110" s="506"/>
      <c r="L110" s="506"/>
      <c r="M110" s="125">
        <v>702</v>
      </c>
      <c r="N110" s="126"/>
      <c r="O110" s="125">
        <v>711</v>
      </c>
      <c r="P110" s="506"/>
      <c r="Q110" s="506"/>
      <c r="R110" s="125">
        <v>703</v>
      </c>
      <c r="S110" s="134"/>
      <c r="T110" s="48" t="s">
        <v>44</v>
      </c>
    </row>
    <row r="111" spans="2:20" x14ac:dyDescent="0.25">
      <c r="B111" s="49">
        <v>70</v>
      </c>
      <c r="C111" s="471" t="s">
        <v>152</v>
      </c>
      <c r="D111" s="471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125">
        <v>66</v>
      </c>
      <c r="S111" s="127"/>
      <c r="T111" s="48" t="s">
        <v>44</v>
      </c>
    </row>
    <row r="112" spans="2:20" x14ac:dyDescent="0.25">
      <c r="B112" s="474">
        <v>71</v>
      </c>
      <c r="C112" s="510" t="s">
        <v>153</v>
      </c>
      <c r="D112" s="511"/>
      <c r="E112" s="511"/>
      <c r="F112" s="512"/>
      <c r="G112" s="516" t="s">
        <v>154</v>
      </c>
      <c r="H112" s="516"/>
      <c r="I112" s="516" t="s">
        <v>155</v>
      </c>
      <c r="J112" s="516"/>
      <c r="K112" s="516"/>
      <c r="L112" s="516"/>
      <c r="M112" s="516" t="s">
        <v>156</v>
      </c>
      <c r="N112" s="516"/>
      <c r="O112" s="516"/>
      <c r="P112" s="516"/>
      <c r="Q112" s="516"/>
      <c r="R112" s="516"/>
      <c r="S112" s="516"/>
      <c r="T112" s="517"/>
    </row>
    <row r="113" spans="2:20" x14ac:dyDescent="0.25">
      <c r="B113" s="475"/>
      <c r="C113" s="513"/>
      <c r="D113" s="514"/>
      <c r="E113" s="514"/>
      <c r="F113" s="515"/>
      <c r="G113" s="125">
        <v>721</v>
      </c>
      <c r="H113" s="126"/>
      <c r="I113" s="125">
        <v>722</v>
      </c>
      <c r="J113" s="506"/>
      <c r="K113" s="506"/>
      <c r="L113" s="506"/>
      <c r="M113" s="125">
        <v>724</v>
      </c>
      <c r="N113" s="509"/>
      <c r="O113" s="509"/>
      <c r="P113" s="471" t="s">
        <v>157</v>
      </c>
      <c r="Q113" s="471"/>
      <c r="R113" s="125">
        <v>723</v>
      </c>
      <c r="S113" s="134"/>
      <c r="T113" s="48" t="s">
        <v>51</v>
      </c>
    </row>
    <row r="114" spans="2:20" x14ac:dyDescent="0.25">
      <c r="B114" s="49">
        <v>72</v>
      </c>
      <c r="C114" s="471" t="s">
        <v>158</v>
      </c>
      <c r="D114" s="471"/>
      <c r="E114" s="471"/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P114" s="471"/>
      <c r="Q114" s="471"/>
      <c r="R114" s="125">
        <v>152</v>
      </c>
      <c r="S114" s="127"/>
      <c r="T114" s="48" t="s">
        <v>44</v>
      </c>
    </row>
    <row r="115" spans="2:20" x14ac:dyDescent="0.25">
      <c r="B115" s="49">
        <v>73</v>
      </c>
      <c r="C115" s="471" t="s">
        <v>159</v>
      </c>
      <c r="D115" s="471"/>
      <c r="E115" s="471"/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P115" s="471"/>
      <c r="Q115" s="471"/>
      <c r="R115" s="125">
        <v>70</v>
      </c>
      <c r="S115" s="127"/>
      <c r="T115" s="48" t="s">
        <v>44</v>
      </c>
    </row>
    <row r="116" spans="2:20" ht="15.75" thickBot="1" x14ac:dyDescent="0.3">
      <c r="B116" s="14">
        <v>74</v>
      </c>
      <c r="C116" s="472" t="s">
        <v>160</v>
      </c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15">
        <v>766</v>
      </c>
      <c r="S116" s="21"/>
      <c r="T116" s="17"/>
    </row>
    <row r="117" spans="2:20" ht="15.75" thickBot="1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2:20" ht="15.75" thickBot="1" x14ac:dyDescent="0.3">
      <c r="B118" s="22">
        <v>75</v>
      </c>
      <c r="C118" s="483" t="s">
        <v>161</v>
      </c>
      <c r="D118" s="483"/>
      <c r="E118" s="483"/>
      <c r="F118" s="483"/>
      <c r="G118" s="483"/>
      <c r="H118" s="483"/>
      <c r="I118" s="483"/>
      <c r="J118" s="483"/>
      <c r="K118" s="483"/>
      <c r="L118" s="483"/>
      <c r="M118" s="483"/>
      <c r="N118" s="483"/>
      <c r="O118" s="483"/>
      <c r="P118" s="483"/>
      <c r="Q118" s="483"/>
      <c r="R118" s="23">
        <v>595</v>
      </c>
      <c r="S118" s="24">
        <f>SUM(S80,S95:S105,S108:S111)</f>
        <v>0</v>
      </c>
      <c r="T118" s="25" t="s">
        <v>65</v>
      </c>
    </row>
    <row r="119" spans="2:20" ht="15.75" thickBot="1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2:20" x14ac:dyDescent="0.25">
      <c r="B120" s="484" t="s">
        <v>162</v>
      </c>
      <c r="C120" s="485"/>
      <c r="D120" s="485"/>
      <c r="E120" s="485"/>
      <c r="F120" s="485"/>
      <c r="G120" s="485"/>
      <c r="H120" s="485"/>
      <c r="I120" s="485"/>
      <c r="J120" s="485"/>
      <c r="K120" s="485"/>
      <c r="L120" s="485"/>
      <c r="M120" s="485"/>
      <c r="N120" s="485"/>
      <c r="O120" s="485"/>
      <c r="P120" s="485"/>
      <c r="Q120" s="485"/>
      <c r="R120" s="485"/>
      <c r="S120" s="485"/>
      <c r="T120" s="46"/>
    </row>
    <row r="121" spans="2:20" x14ac:dyDescent="0.25">
      <c r="B121" s="503"/>
      <c r="C121" s="504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 t="s">
        <v>112</v>
      </c>
      <c r="S121" s="504"/>
      <c r="T121" s="505"/>
    </row>
    <row r="122" spans="2:20" x14ac:dyDescent="0.25">
      <c r="B122" s="49">
        <v>76</v>
      </c>
      <c r="C122" s="520" t="s">
        <v>163</v>
      </c>
      <c r="D122" s="520"/>
      <c r="E122" s="520"/>
      <c r="F122" s="520"/>
      <c r="G122" s="520"/>
      <c r="H122" s="520"/>
      <c r="I122" s="520"/>
      <c r="J122" s="520"/>
      <c r="K122" s="520"/>
      <c r="L122" s="520"/>
      <c r="M122" s="520"/>
      <c r="N122" s="520"/>
      <c r="O122" s="520"/>
      <c r="P122" s="520"/>
      <c r="Q122" s="520"/>
      <c r="R122" s="245">
        <v>529</v>
      </c>
      <c r="S122" s="278">
        <f>SUM('Ej.3 IVA Simp Art.29'!P47)</f>
        <v>600000</v>
      </c>
      <c r="T122" s="279"/>
    </row>
    <row r="123" spans="2:20" x14ac:dyDescent="0.25">
      <c r="B123" s="49">
        <v>77</v>
      </c>
      <c r="C123" s="520" t="s">
        <v>164</v>
      </c>
      <c r="D123" s="520"/>
      <c r="E123" s="520"/>
      <c r="F123" s="520"/>
      <c r="G123" s="520"/>
      <c r="H123" s="520"/>
      <c r="I123" s="520"/>
      <c r="J123" s="520"/>
      <c r="K123" s="520"/>
      <c r="L123" s="520"/>
      <c r="M123" s="520"/>
      <c r="N123" s="520"/>
      <c r="O123" s="520"/>
      <c r="P123" s="520"/>
      <c r="Q123" s="520"/>
      <c r="R123" s="245">
        <v>530</v>
      </c>
      <c r="S123" s="278">
        <f>-SUM('Ej.3 IVA Simp Art.29'!O43:Q43)</f>
        <v>43700</v>
      </c>
      <c r="T123" s="279"/>
    </row>
    <row r="124" spans="2:20" ht="15.75" thickBot="1" x14ac:dyDescent="0.3">
      <c r="B124" s="10">
        <v>78</v>
      </c>
      <c r="C124" s="537" t="s">
        <v>165</v>
      </c>
      <c r="D124" s="537"/>
      <c r="E124" s="537"/>
      <c r="F124" s="537"/>
      <c r="G124" s="537"/>
      <c r="H124" s="537"/>
      <c r="I124" s="537"/>
      <c r="J124" s="537"/>
      <c r="K124" s="537"/>
      <c r="L124" s="537"/>
      <c r="M124" s="537"/>
      <c r="N124" s="537"/>
      <c r="O124" s="537"/>
      <c r="P124" s="537"/>
      <c r="Q124" s="537"/>
      <c r="R124" s="280">
        <v>409</v>
      </c>
      <c r="S124" s="281">
        <f>SUM('Ej.3 IVA Simp Art.29'!O47)</f>
        <v>72581.199999999983</v>
      </c>
      <c r="T124" s="282" t="s">
        <v>44</v>
      </c>
    </row>
    <row r="125" spans="2:20" ht="15.75" thickBot="1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2:20" x14ac:dyDescent="0.25">
      <c r="B126" s="484" t="s">
        <v>166</v>
      </c>
      <c r="C126" s="485"/>
      <c r="D126" s="485"/>
      <c r="E126" s="485"/>
      <c r="F126" s="485"/>
      <c r="G126" s="485"/>
      <c r="H126" s="485"/>
      <c r="I126" s="485"/>
      <c r="J126" s="485"/>
      <c r="K126" s="485"/>
      <c r="L126" s="485"/>
      <c r="M126" s="485"/>
      <c r="N126" s="485"/>
      <c r="O126" s="485"/>
      <c r="P126" s="485"/>
      <c r="Q126" s="485"/>
      <c r="R126" s="485"/>
      <c r="S126" s="485"/>
      <c r="T126" s="46"/>
    </row>
    <row r="127" spans="2:20" x14ac:dyDescent="0.25">
      <c r="B127" s="49">
        <v>79</v>
      </c>
      <c r="C127" s="471" t="s">
        <v>167</v>
      </c>
      <c r="D127" s="471"/>
      <c r="E127" s="471"/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P127" s="471"/>
      <c r="Q127" s="471"/>
      <c r="R127" s="125">
        <v>522</v>
      </c>
      <c r="S127" s="127"/>
      <c r="T127" s="48" t="s">
        <v>44</v>
      </c>
    </row>
    <row r="128" spans="2:20" x14ac:dyDescent="0.25">
      <c r="B128" s="49">
        <v>80</v>
      </c>
      <c r="C128" s="471" t="s">
        <v>168</v>
      </c>
      <c r="D128" s="471"/>
      <c r="E128" s="471"/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P128" s="471"/>
      <c r="Q128" s="471"/>
      <c r="R128" s="125">
        <v>526</v>
      </c>
      <c r="S128" s="127"/>
      <c r="T128" s="48" t="s">
        <v>44</v>
      </c>
    </row>
    <row r="129" spans="2:20" x14ac:dyDescent="0.25">
      <c r="B129" s="49">
        <v>81</v>
      </c>
      <c r="C129" s="471" t="s">
        <v>169</v>
      </c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125">
        <v>113</v>
      </c>
      <c r="S129" s="127"/>
      <c r="T129" s="48" t="s">
        <v>44</v>
      </c>
    </row>
    <row r="130" spans="2:20" x14ac:dyDescent="0.25">
      <c r="B130" s="49">
        <v>82</v>
      </c>
      <c r="C130" s="471" t="s">
        <v>170</v>
      </c>
      <c r="D130" s="471"/>
      <c r="E130" s="471"/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P130" s="471"/>
      <c r="Q130" s="471"/>
      <c r="R130" s="125">
        <v>28</v>
      </c>
      <c r="S130" s="127"/>
      <c r="T130" s="48" t="s">
        <v>51</v>
      </c>
    </row>
    <row r="131" spans="2:20" x14ac:dyDescent="0.25">
      <c r="B131" s="49">
        <v>83</v>
      </c>
      <c r="C131" s="471" t="s">
        <v>171</v>
      </c>
      <c r="D131" s="471"/>
      <c r="E131" s="471"/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P131" s="471"/>
      <c r="Q131" s="471"/>
      <c r="R131" s="125">
        <v>548</v>
      </c>
      <c r="S131" s="127"/>
      <c r="T131" s="48" t="s">
        <v>51</v>
      </c>
    </row>
    <row r="132" spans="2:20" x14ac:dyDescent="0.25">
      <c r="B132" s="49">
        <v>84</v>
      </c>
      <c r="C132" s="471" t="s">
        <v>172</v>
      </c>
      <c r="D132" s="471"/>
      <c r="E132" s="471"/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P132" s="471"/>
      <c r="Q132" s="471"/>
      <c r="R132" s="125">
        <v>540</v>
      </c>
      <c r="S132" s="127"/>
      <c r="T132" s="48" t="s">
        <v>51</v>
      </c>
    </row>
    <row r="133" spans="2:20" x14ac:dyDescent="0.25">
      <c r="B133" s="49">
        <v>85</v>
      </c>
      <c r="C133" s="471" t="s">
        <v>173</v>
      </c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P133" s="471"/>
      <c r="Q133" s="471"/>
      <c r="R133" s="125">
        <v>541</v>
      </c>
      <c r="S133" s="127"/>
      <c r="T133" s="48" t="s">
        <v>44</v>
      </c>
    </row>
    <row r="134" spans="2:20" ht="15.75" thickBot="1" x14ac:dyDescent="0.3">
      <c r="B134" s="49">
        <v>86</v>
      </c>
      <c r="C134" s="470" t="s">
        <v>174</v>
      </c>
      <c r="D134" s="470"/>
      <c r="E134" s="470"/>
      <c r="F134" s="470"/>
      <c r="G134" s="470"/>
      <c r="H134" s="470"/>
      <c r="I134" s="52">
        <v>549</v>
      </c>
      <c r="J134" s="507">
        <f>IF(S127+S128+S129+S133-S130-S131-S132&lt;0,-(S127+S128+S129+S133-S130-S131-S132),0)</f>
        <v>0</v>
      </c>
      <c r="K134" s="507"/>
      <c r="L134" s="507"/>
      <c r="M134" s="470" t="s">
        <v>175</v>
      </c>
      <c r="N134" s="470"/>
      <c r="O134" s="470"/>
      <c r="P134" s="470"/>
      <c r="Q134" s="470"/>
      <c r="R134" s="52">
        <v>550</v>
      </c>
      <c r="S134" s="27">
        <f>IF(S127+S128+S129+S133-S130-S131-S132&gt;0,S127+S128+S129+S133-S130-S131-S132,0)</f>
        <v>0</v>
      </c>
      <c r="T134" s="11" t="s">
        <v>44</v>
      </c>
    </row>
    <row r="135" spans="2:20" ht="15.75" thickBot="1" x14ac:dyDescent="0.3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2:20" x14ac:dyDescent="0.25">
      <c r="B136" s="484" t="s">
        <v>176</v>
      </c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  <c r="N136" s="485"/>
      <c r="O136" s="485"/>
      <c r="P136" s="485"/>
      <c r="Q136" s="485"/>
      <c r="R136" s="485"/>
      <c r="S136" s="485"/>
      <c r="T136" s="46"/>
    </row>
    <row r="137" spans="2:20" x14ac:dyDescent="0.25">
      <c r="B137" s="503"/>
      <c r="C137" s="504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 t="s">
        <v>177</v>
      </c>
      <c r="S137" s="504"/>
      <c r="T137" s="505"/>
    </row>
    <row r="138" spans="2:20" x14ac:dyDescent="0.25">
      <c r="B138" s="49">
        <v>87</v>
      </c>
      <c r="C138" s="471" t="s">
        <v>178</v>
      </c>
      <c r="D138" s="471"/>
      <c r="E138" s="471"/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P138" s="471"/>
      <c r="Q138" s="471"/>
      <c r="R138" s="125">
        <v>577</v>
      </c>
      <c r="S138" s="127"/>
      <c r="T138" s="48" t="s">
        <v>44</v>
      </c>
    </row>
    <row r="139" spans="2:20" x14ac:dyDescent="0.25">
      <c r="B139" s="49">
        <v>88</v>
      </c>
      <c r="C139" s="471" t="s">
        <v>179</v>
      </c>
      <c r="D139" s="471"/>
      <c r="E139" s="471"/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P139" s="471"/>
      <c r="Q139" s="471"/>
      <c r="R139" s="125">
        <v>32</v>
      </c>
      <c r="S139" s="127"/>
      <c r="T139" s="48" t="s">
        <v>44</v>
      </c>
    </row>
    <row r="140" spans="2:20" x14ac:dyDescent="0.25">
      <c r="B140" s="49">
        <v>89</v>
      </c>
      <c r="C140" s="471" t="s">
        <v>180</v>
      </c>
      <c r="D140" s="471"/>
      <c r="E140" s="471"/>
      <c r="F140" s="471"/>
      <c r="G140" s="471"/>
      <c r="H140" s="471"/>
      <c r="I140" s="471"/>
      <c r="J140" s="471"/>
      <c r="K140" s="471"/>
      <c r="L140" s="471"/>
      <c r="M140" s="471"/>
      <c r="N140" s="471"/>
      <c r="O140" s="471"/>
      <c r="P140" s="471"/>
      <c r="Q140" s="471"/>
      <c r="R140" s="125">
        <v>150</v>
      </c>
      <c r="S140" s="127"/>
      <c r="T140" s="48" t="s">
        <v>44</v>
      </c>
    </row>
    <row r="141" spans="2:20" x14ac:dyDescent="0.25">
      <c r="B141" s="49">
        <v>90</v>
      </c>
      <c r="C141" s="471" t="s">
        <v>181</v>
      </c>
      <c r="D141" s="471"/>
      <c r="E141" s="471"/>
      <c r="F141" s="471"/>
      <c r="G141" s="471"/>
      <c r="H141" s="471"/>
      <c r="I141" s="471"/>
      <c r="J141" s="471"/>
      <c r="K141" s="471"/>
      <c r="L141" s="471"/>
      <c r="M141" s="471"/>
      <c r="N141" s="471"/>
      <c r="O141" s="471"/>
      <c r="P141" s="471"/>
      <c r="Q141" s="471"/>
      <c r="R141" s="125">
        <v>146</v>
      </c>
      <c r="S141" s="127"/>
      <c r="T141" s="48" t="s">
        <v>44</v>
      </c>
    </row>
    <row r="142" spans="2:20" x14ac:dyDescent="0.25">
      <c r="B142" s="49">
        <v>91</v>
      </c>
      <c r="C142" s="471" t="s">
        <v>182</v>
      </c>
      <c r="D142" s="471"/>
      <c r="E142" s="471"/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P142" s="471"/>
      <c r="Q142" s="471"/>
      <c r="R142" s="125">
        <v>752</v>
      </c>
      <c r="S142" s="127"/>
      <c r="T142" s="48" t="s">
        <v>44</v>
      </c>
    </row>
    <row r="143" spans="2:20" x14ac:dyDescent="0.25">
      <c r="B143" s="49">
        <v>92</v>
      </c>
      <c r="C143" s="471" t="s">
        <v>183</v>
      </c>
      <c r="D143" s="471"/>
      <c r="E143" s="471"/>
      <c r="F143" s="471"/>
      <c r="G143" s="471"/>
      <c r="H143" s="471"/>
      <c r="I143" s="471"/>
      <c r="J143" s="471"/>
      <c r="K143" s="471"/>
      <c r="L143" s="471"/>
      <c r="M143" s="471"/>
      <c r="N143" s="471"/>
      <c r="O143" s="471"/>
      <c r="P143" s="471"/>
      <c r="Q143" s="471"/>
      <c r="R143" s="125">
        <v>545</v>
      </c>
      <c r="S143" s="127"/>
      <c r="T143" s="48" t="s">
        <v>44</v>
      </c>
    </row>
    <row r="144" spans="2:20" x14ac:dyDescent="0.25">
      <c r="B144" s="49">
        <v>93</v>
      </c>
      <c r="C144" s="471" t="s">
        <v>184</v>
      </c>
      <c r="D144" s="471"/>
      <c r="E144" s="471"/>
      <c r="F144" s="471"/>
      <c r="G144" s="471"/>
      <c r="H144" s="471"/>
      <c r="I144" s="471"/>
      <c r="J144" s="471"/>
      <c r="K144" s="471"/>
      <c r="L144" s="471"/>
      <c r="M144" s="471"/>
      <c r="N144" s="471"/>
      <c r="O144" s="471"/>
      <c r="P144" s="471"/>
      <c r="Q144" s="471"/>
      <c r="R144" s="125">
        <v>546</v>
      </c>
      <c r="S144" s="127"/>
      <c r="T144" s="48" t="s">
        <v>51</v>
      </c>
    </row>
    <row r="145" spans="2:20" x14ac:dyDescent="0.25">
      <c r="B145" s="49">
        <v>94</v>
      </c>
      <c r="C145" s="471" t="s">
        <v>52</v>
      </c>
      <c r="D145" s="471"/>
      <c r="E145" s="471"/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P145" s="471"/>
      <c r="Q145" s="471"/>
      <c r="R145" s="125">
        <v>710</v>
      </c>
      <c r="S145" s="127"/>
      <c r="T145" s="48" t="s">
        <v>51</v>
      </c>
    </row>
    <row r="146" spans="2:20" x14ac:dyDescent="0.25">
      <c r="B146" s="49">
        <v>95</v>
      </c>
      <c r="C146" s="471" t="s">
        <v>185</v>
      </c>
      <c r="D146" s="471"/>
      <c r="E146" s="471"/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P146" s="471"/>
      <c r="Q146" s="471"/>
      <c r="R146" s="125">
        <v>602</v>
      </c>
      <c r="S146" s="134">
        <f>+S138+S139+S140+S141+S142+S143-S144-S145</f>
        <v>0</v>
      </c>
      <c r="T146" s="48" t="s">
        <v>65</v>
      </c>
    </row>
    <row r="147" spans="2:20" ht="36.75" customHeight="1" x14ac:dyDescent="0.25">
      <c r="B147" s="503"/>
      <c r="C147" s="504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 t="s">
        <v>186</v>
      </c>
      <c r="N147" s="504"/>
      <c r="O147" s="504"/>
      <c r="P147" s="504"/>
      <c r="Q147" s="504"/>
      <c r="R147" s="504" t="s">
        <v>187</v>
      </c>
      <c r="S147" s="504"/>
      <c r="T147" s="505"/>
    </row>
    <row r="148" spans="2:20" x14ac:dyDescent="0.25">
      <c r="B148" s="49">
        <v>96</v>
      </c>
      <c r="C148" s="471" t="s">
        <v>178</v>
      </c>
      <c r="D148" s="471"/>
      <c r="E148" s="471"/>
      <c r="F148" s="471"/>
      <c r="G148" s="471"/>
      <c r="H148" s="471"/>
      <c r="I148" s="471"/>
      <c r="J148" s="471"/>
      <c r="K148" s="471"/>
      <c r="L148" s="471"/>
      <c r="M148" s="125">
        <v>575</v>
      </c>
      <c r="N148" s="506"/>
      <c r="O148" s="506"/>
      <c r="P148" s="506"/>
      <c r="Q148" s="140" t="s">
        <v>44</v>
      </c>
      <c r="R148" s="125">
        <v>576</v>
      </c>
      <c r="S148" s="127"/>
      <c r="T148" s="48" t="s">
        <v>44</v>
      </c>
    </row>
    <row r="149" spans="2:20" x14ac:dyDescent="0.25">
      <c r="B149" s="49">
        <v>97</v>
      </c>
      <c r="C149" s="471" t="s">
        <v>179</v>
      </c>
      <c r="D149" s="471"/>
      <c r="E149" s="471"/>
      <c r="F149" s="471"/>
      <c r="G149" s="471"/>
      <c r="H149" s="471"/>
      <c r="I149" s="471"/>
      <c r="J149" s="471"/>
      <c r="K149" s="471"/>
      <c r="L149" s="471"/>
      <c r="M149" s="125">
        <v>574</v>
      </c>
      <c r="N149" s="506"/>
      <c r="O149" s="506"/>
      <c r="P149" s="506"/>
      <c r="Q149" s="140" t="s">
        <v>44</v>
      </c>
      <c r="R149" s="125">
        <v>33</v>
      </c>
      <c r="S149" s="127"/>
      <c r="T149" s="48" t="s">
        <v>44</v>
      </c>
    </row>
    <row r="150" spans="2:20" x14ac:dyDescent="0.25">
      <c r="B150" s="49">
        <v>98</v>
      </c>
      <c r="C150" s="471" t="s">
        <v>180</v>
      </c>
      <c r="D150" s="471"/>
      <c r="E150" s="471"/>
      <c r="F150" s="471"/>
      <c r="G150" s="471"/>
      <c r="H150" s="471"/>
      <c r="I150" s="471"/>
      <c r="J150" s="471"/>
      <c r="K150" s="471"/>
      <c r="L150" s="471"/>
      <c r="M150" s="125">
        <v>580</v>
      </c>
      <c r="N150" s="506"/>
      <c r="O150" s="506"/>
      <c r="P150" s="506"/>
      <c r="Q150" s="140" t="s">
        <v>44</v>
      </c>
      <c r="R150" s="125">
        <v>149</v>
      </c>
      <c r="S150" s="127"/>
      <c r="T150" s="48" t="s">
        <v>44</v>
      </c>
    </row>
    <row r="151" spans="2:20" x14ac:dyDescent="0.25">
      <c r="B151" s="49">
        <v>99</v>
      </c>
      <c r="C151" s="471" t="s">
        <v>181</v>
      </c>
      <c r="D151" s="471"/>
      <c r="E151" s="471"/>
      <c r="F151" s="471"/>
      <c r="G151" s="471"/>
      <c r="H151" s="471"/>
      <c r="I151" s="471"/>
      <c r="J151" s="471"/>
      <c r="K151" s="471"/>
      <c r="L151" s="471"/>
      <c r="M151" s="125">
        <v>582</v>
      </c>
      <c r="N151" s="506"/>
      <c r="O151" s="506"/>
      <c r="P151" s="506"/>
      <c r="Q151" s="140" t="s">
        <v>44</v>
      </c>
      <c r="R151" s="125">
        <v>85</v>
      </c>
      <c r="S151" s="127"/>
      <c r="T151" s="48" t="s">
        <v>44</v>
      </c>
    </row>
    <row r="152" spans="2:20" x14ac:dyDescent="0.25">
      <c r="B152" s="49">
        <v>100</v>
      </c>
      <c r="C152" s="471" t="s">
        <v>182</v>
      </c>
      <c r="D152" s="471"/>
      <c r="E152" s="471"/>
      <c r="F152" s="471"/>
      <c r="G152" s="471"/>
      <c r="H152" s="471"/>
      <c r="I152" s="471"/>
      <c r="J152" s="471"/>
      <c r="K152" s="471"/>
      <c r="L152" s="471"/>
      <c r="M152" s="125">
        <v>753</v>
      </c>
      <c r="N152" s="506"/>
      <c r="O152" s="506"/>
      <c r="P152" s="506"/>
      <c r="Q152" s="140" t="s">
        <v>44</v>
      </c>
      <c r="R152" s="125">
        <v>754</v>
      </c>
      <c r="S152" s="127"/>
      <c r="T152" s="48" t="s">
        <v>44</v>
      </c>
    </row>
    <row r="153" spans="2:20" x14ac:dyDescent="0.25">
      <c r="B153" s="49">
        <v>101</v>
      </c>
      <c r="C153" s="471" t="s">
        <v>188</v>
      </c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125">
        <v>551</v>
      </c>
      <c r="S153" s="127"/>
      <c r="T153" s="48" t="s">
        <v>44</v>
      </c>
    </row>
    <row r="154" spans="2:20" x14ac:dyDescent="0.25">
      <c r="B154" s="49">
        <v>102</v>
      </c>
      <c r="C154" s="471" t="s">
        <v>189</v>
      </c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P154" s="471"/>
      <c r="Q154" s="471"/>
      <c r="R154" s="125">
        <v>559</v>
      </c>
      <c r="S154" s="127"/>
      <c r="T154" s="48" t="s">
        <v>51</v>
      </c>
    </row>
    <row r="155" spans="2:20" x14ac:dyDescent="0.25">
      <c r="B155" s="49">
        <v>103</v>
      </c>
      <c r="C155" s="471" t="s">
        <v>190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125">
        <v>508</v>
      </c>
      <c r="S155" s="127"/>
      <c r="T155" s="48" t="s">
        <v>44</v>
      </c>
    </row>
    <row r="156" spans="2:20" x14ac:dyDescent="0.25">
      <c r="B156" s="49">
        <v>104</v>
      </c>
      <c r="C156" s="471" t="s">
        <v>191</v>
      </c>
      <c r="D156" s="471"/>
      <c r="E156" s="471"/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P156" s="471"/>
      <c r="Q156" s="471"/>
      <c r="R156" s="125">
        <v>533</v>
      </c>
      <c r="S156" s="127"/>
      <c r="T156" s="48" t="s">
        <v>51</v>
      </c>
    </row>
    <row r="157" spans="2:20" x14ac:dyDescent="0.25">
      <c r="B157" s="49">
        <v>105</v>
      </c>
      <c r="C157" s="471" t="s">
        <v>192</v>
      </c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P157" s="471"/>
      <c r="Q157" s="471"/>
      <c r="R157" s="125">
        <v>552</v>
      </c>
      <c r="S157" s="127"/>
      <c r="T157" s="48" t="s">
        <v>44</v>
      </c>
    </row>
    <row r="158" spans="2:20" ht="15.75" thickBot="1" x14ac:dyDescent="0.3">
      <c r="B158" s="49">
        <v>106</v>
      </c>
      <c r="C158" s="470" t="s">
        <v>193</v>
      </c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52">
        <v>603</v>
      </c>
      <c r="S158" s="27">
        <f>+S148+S149+S150+S151+S152+S153-S154+S155-S156+S157</f>
        <v>0</v>
      </c>
      <c r="T158" s="11" t="s">
        <v>65</v>
      </c>
    </row>
    <row r="159" spans="2:20" ht="15.75" thickBot="1" x14ac:dyDescent="0.3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2:20" ht="15.75" thickBot="1" x14ac:dyDescent="0.3">
      <c r="B160" s="22">
        <v>107</v>
      </c>
      <c r="C160" s="483" t="s">
        <v>194</v>
      </c>
      <c r="D160" s="483"/>
      <c r="E160" s="483"/>
      <c r="F160" s="483"/>
      <c r="G160" s="483"/>
      <c r="H160" s="483"/>
      <c r="I160" s="23">
        <v>507</v>
      </c>
      <c r="J160" s="502">
        <f>IF(S146-S158&lt;0,S158-S146,0)</f>
        <v>0</v>
      </c>
      <c r="K160" s="502"/>
      <c r="L160" s="502"/>
      <c r="M160" s="502"/>
      <c r="N160" s="483" t="s">
        <v>195</v>
      </c>
      <c r="O160" s="483"/>
      <c r="P160" s="483"/>
      <c r="Q160" s="483"/>
      <c r="R160" s="23">
        <v>506</v>
      </c>
      <c r="S160" s="28">
        <f>IF(S146-S158&gt;0,S146-S158,0)</f>
        <v>0</v>
      </c>
      <c r="T160" s="25" t="s">
        <v>44</v>
      </c>
    </row>
    <row r="161" spans="2:20" ht="15.75" thickBot="1" x14ac:dyDescent="0.3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2:20" x14ac:dyDescent="0.25">
      <c r="B162" s="484" t="s">
        <v>196</v>
      </c>
      <c r="C162" s="485"/>
      <c r="D162" s="485"/>
      <c r="E162" s="485"/>
      <c r="F162" s="485"/>
      <c r="G162" s="485"/>
      <c r="H162" s="485"/>
      <c r="I162" s="485"/>
      <c r="J162" s="485"/>
      <c r="K162" s="485"/>
      <c r="L162" s="485"/>
      <c r="M162" s="485"/>
      <c r="N162" s="485"/>
      <c r="O162" s="485"/>
      <c r="P162" s="485"/>
      <c r="Q162" s="485"/>
      <c r="R162" s="485"/>
      <c r="S162" s="485"/>
      <c r="T162" s="46"/>
    </row>
    <row r="163" spans="2:20" x14ac:dyDescent="0.25">
      <c r="B163" s="503" t="s">
        <v>197</v>
      </c>
      <c r="C163" s="504"/>
      <c r="D163" s="504"/>
      <c r="E163" s="504"/>
      <c r="F163" s="504"/>
      <c r="G163" s="504"/>
      <c r="H163" s="504"/>
      <c r="I163" s="504"/>
      <c r="J163" s="504"/>
      <c r="K163" s="504"/>
      <c r="L163" s="504"/>
      <c r="M163" s="504"/>
      <c r="N163" s="504"/>
      <c r="O163" s="504"/>
      <c r="P163" s="504"/>
      <c r="Q163" s="504"/>
      <c r="R163" s="504"/>
      <c r="S163" s="504"/>
      <c r="T163" s="505"/>
    </row>
    <row r="164" spans="2:20" x14ac:dyDescent="0.25">
      <c r="B164" s="49">
        <v>108</v>
      </c>
      <c r="C164" s="471" t="s">
        <v>198</v>
      </c>
      <c r="D164" s="471"/>
      <c r="E164" s="471"/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P164" s="471"/>
      <c r="Q164" s="471"/>
      <c r="R164" s="125">
        <v>556</v>
      </c>
      <c r="S164" s="127"/>
      <c r="T164" s="48" t="s">
        <v>44</v>
      </c>
    </row>
    <row r="165" spans="2:20" x14ac:dyDescent="0.25">
      <c r="B165" s="49">
        <v>109</v>
      </c>
      <c r="C165" s="471" t="s">
        <v>199</v>
      </c>
      <c r="D165" s="471"/>
      <c r="E165" s="471"/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P165" s="471"/>
      <c r="Q165" s="471"/>
      <c r="R165" s="125">
        <v>557</v>
      </c>
      <c r="S165" s="127"/>
      <c r="T165" s="48" t="s">
        <v>44</v>
      </c>
    </row>
    <row r="166" spans="2:20" x14ac:dyDescent="0.25">
      <c r="B166" s="49">
        <v>110</v>
      </c>
      <c r="C166" s="471" t="s">
        <v>200</v>
      </c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P166" s="471"/>
      <c r="Q166" s="471"/>
      <c r="R166" s="125">
        <v>558</v>
      </c>
      <c r="S166" s="127"/>
      <c r="T166" s="48" t="s">
        <v>51</v>
      </c>
    </row>
    <row r="167" spans="2:20" x14ac:dyDescent="0.25">
      <c r="B167" s="49">
        <v>111</v>
      </c>
      <c r="C167" s="471" t="s">
        <v>201</v>
      </c>
      <c r="D167" s="471"/>
      <c r="E167" s="471"/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P167" s="471"/>
      <c r="Q167" s="471"/>
      <c r="R167" s="125">
        <v>543</v>
      </c>
      <c r="S167" s="134">
        <f>+S164+S165-S166</f>
        <v>0</v>
      </c>
      <c r="T167" s="48" t="s">
        <v>65</v>
      </c>
    </row>
    <row r="168" spans="2:20" ht="15.75" thickBot="1" x14ac:dyDescent="0.3">
      <c r="B168" s="14">
        <v>112</v>
      </c>
      <c r="C168" s="472" t="s">
        <v>202</v>
      </c>
      <c r="D168" s="472"/>
      <c r="E168" s="472"/>
      <c r="F168" s="472"/>
      <c r="G168" s="472"/>
      <c r="H168" s="472"/>
      <c r="I168" s="15">
        <v>573</v>
      </c>
      <c r="J168" s="584">
        <f>IF(S80&lt;S167,S167-S168,0)</f>
        <v>0</v>
      </c>
      <c r="K168" s="584"/>
      <c r="L168" s="584"/>
      <c r="M168" s="584"/>
      <c r="N168" s="472" t="s">
        <v>203</v>
      </c>
      <c r="O168" s="472"/>
      <c r="P168" s="472"/>
      <c r="Q168" s="472"/>
      <c r="R168" s="15">
        <v>598</v>
      </c>
      <c r="S168" s="53">
        <f>IF(S167&gt;S80,S80,S167)</f>
        <v>0</v>
      </c>
      <c r="T168" s="48" t="s">
        <v>51</v>
      </c>
    </row>
    <row r="169" spans="2:20" ht="15.75" thickBot="1" x14ac:dyDescent="0.3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2:20" x14ac:dyDescent="0.25">
      <c r="B170" s="484" t="s">
        <v>204</v>
      </c>
      <c r="C170" s="485"/>
      <c r="D170" s="485"/>
      <c r="E170" s="485"/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P170" s="485"/>
      <c r="Q170" s="485"/>
      <c r="R170" s="485"/>
      <c r="S170" s="485"/>
      <c r="T170" s="498"/>
    </row>
    <row r="171" spans="2:20" x14ac:dyDescent="0.25">
      <c r="B171" s="49">
        <v>113</v>
      </c>
      <c r="C171" s="471" t="s">
        <v>205</v>
      </c>
      <c r="D171" s="471"/>
      <c r="E171" s="471"/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P171" s="471"/>
      <c r="Q171" s="471"/>
      <c r="R171" s="125">
        <v>39</v>
      </c>
      <c r="S171" s="141"/>
      <c r="T171" s="140" t="s">
        <v>44</v>
      </c>
    </row>
    <row r="172" spans="2:20" x14ac:dyDescent="0.25">
      <c r="B172" s="49">
        <v>114</v>
      </c>
      <c r="C172" s="471" t="s">
        <v>206</v>
      </c>
      <c r="D172" s="471"/>
      <c r="E172" s="471"/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P172" s="471"/>
      <c r="Q172" s="471"/>
      <c r="R172" s="125">
        <v>554</v>
      </c>
      <c r="S172" s="141"/>
      <c r="T172" s="140" t="s">
        <v>44</v>
      </c>
    </row>
    <row r="173" spans="2:20" x14ac:dyDescent="0.25">
      <c r="B173" s="49">
        <v>115</v>
      </c>
      <c r="C173" s="471" t="s">
        <v>207</v>
      </c>
      <c r="D173" s="471"/>
      <c r="E173" s="471"/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P173" s="471"/>
      <c r="Q173" s="471"/>
      <c r="R173" s="125">
        <v>736</v>
      </c>
      <c r="S173" s="141"/>
      <c r="T173" s="140" t="s">
        <v>51</v>
      </c>
    </row>
    <row r="174" spans="2:20" x14ac:dyDescent="0.25">
      <c r="B174" s="49">
        <v>116</v>
      </c>
      <c r="C174" s="471" t="s">
        <v>208</v>
      </c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P174" s="471"/>
      <c r="Q174" s="471"/>
      <c r="R174" s="125">
        <v>597</v>
      </c>
      <c r="S174" s="141"/>
      <c r="T174" s="140" t="s">
        <v>44</v>
      </c>
    </row>
    <row r="175" spans="2:20" ht="15.75" thickBot="1" x14ac:dyDescent="0.3">
      <c r="B175" s="10">
        <v>117</v>
      </c>
      <c r="C175" s="470" t="s">
        <v>209</v>
      </c>
      <c r="D175" s="470"/>
      <c r="E175" s="470"/>
      <c r="F175" s="470"/>
      <c r="G175" s="470"/>
      <c r="H175" s="470"/>
      <c r="I175" s="52">
        <v>555</v>
      </c>
      <c r="J175" s="499"/>
      <c r="K175" s="499"/>
      <c r="L175" s="499"/>
      <c r="M175" s="29" t="s">
        <v>44</v>
      </c>
      <c r="N175" s="500" t="s">
        <v>210</v>
      </c>
      <c r="O175" s="500"/>
      <c r="P175" s="500"/>
      <c r="Q175" s="500"/>
      <c r="R175" s="52">
        <v>596</v>
      </c>
      <c r="S175" s="12">
        <f>+S171+S172-S173+S174+J175</f>
        <v>0</v>
      </c>
      <c r="T175" s="11" t="s">
        <v>44</v>
      </c>
    </row>
    <row r="176" spans="2:20" ht="15.75" thickBot="1" x14ac:dyDescent="0.3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2:20" x14ac:dyDescent="0.25">
      <c r="B177" s="484" t="s">
        <v>211</v>
      </c>
      <c r="C177" s="485"/>
      <c r="D177" s="485"/>
      <c r="E177" s="485"/>
      <c r="F177" s="485"/>
      <c r="G177" s="485"/>
      <c r="H177" s="485"/>
      <c r="I177" s="485"/>
      <c r="J177" s="485"/>
      <c r="K177" s="485"/>
      <c r="L177" s="485"/>
      <c r="M177" s="485"/>
      <c r="N177" s="485"/>
      <c r="O177" s="485"/>
      <c r="P177" s="485"/>
      <c r="Q177" s="485"/>
      <c r="R177" s="485"/>
      <c r="S177" s="485"/>
      <c r="T177" s="46"/>
    </row>
    <row r="178" spans="2:20" x14ac:dyDescent="0.25">
      <c r="B178" s="49">
        <v>118</v>
      </c>
      <c r="C178" s="471" t="s">
        <v>212</v>
      </c>
      <c r="D178" s="471"/>
      <c r="E178" s="471"/>
      <c r="F178" s="471"/>
      <c r="G178" s="125">
        <v>725</v>
      </c>
      <c r="H178" s="129"/>
      <c r="I178" s="471" t="s">
        <v>213</v>
      </c>
      <c r="J178" s="471"/>
      <c r="K178" s="471"/>
      <c r="L178" s="125">
        <v>737</v>
      </c>
      <c r="M178" s="495"/>
      <c r="N178" s="496"/>
      <c r="O178" s="497"/>
      <c r="P178" s="471" t="s">
        <v>214</v>
      </c>
      <c r="Q178" s="471"/>
      <c r="R178" s="125">
        <v>727</v>
      </c>
      <c r="S178" s="134">
        <f>+H178+M178</f>
        <v>0</v>
      </c>
      <c r="T178" s="48" t="s">
        <v>51</v>
      </c>
    </row>
    <row r="179" spans="2:20" x14ac:dyDescent="0.25">
      <c r="B179" s="49">
        <v>119</v>
      </c>
      <c r="C179" s="471" t="s">
        <v>215</v>
      </c>
      <c r="D179" s="471"/>
      <c r="E179" s="471"/>
      <c r="F179" s="471"/>
      <c r="G179" s="125">
        <v>704</v>
      </c>
      <c r="H179" s="129"/>
      <c r="I179" s="471" t="s">
        <v>213</v>
      </c>
      <c r="J179" s="471"/>
      <c r="K179" s="471"/>
      <c r="L179" s="125">
        <v>705</v>
      </c>
      <c r="M179" s="495"/>
      <c r="N179" s="496"/>
      <c r="O179" s="497"/>
      <c r="P179" s="471" t="s">
        <v>214</v>
      </c>
      <c r="Q179" s="471"/>
      <c r="R179" s="125">
        <v>706</v>
      </c>
      <c r="S179" s="134">
        <f t="shared" ref="S179:S183" si="0">+H179+M179</f>
        <v>0</v>
      </c>
      <c r="T179" s="48" t="s">
        <v>51</v>
      </c>
    </row>
    <row r="180" spans="2:20" x14ac:dyDescent="0.25">
      <c r="B180" s="49">
        <v>120</v>
      </c>
      <c r="C180" s="471" t="s">
        <v>216</v>
      </c>
      <c r="D180" s="471"/>
      <c r="E180" s="471"/>
      <c r="F180" s="471"/>
      <c r="G180" s="125">
        <v>160</v>
      </c>
      <c r="H180" s="129"/>
      <c r="I180" s="471" t="s">
        <v>213</v>
      </c>
      <c r="J180" s="471"/>
      <c r="K180" s="471"/>
      <c r="L180" s="125">
        <v>161</v>
      </c>
      <c r="M180" s="495"/>
      <c r="N180" s="496"/>
      <c r="O180" s="497"/>
      <c r="P180" s="471" t="s">
        <v>214</v>
      </c>
      <c r="Q180" s="471"/>
      <c r="R180" s="125">
        <v>570</v>
      </c>
      <c r="S180" s="134">
        <f t="shared" si="0"/>
        <v>0</v>
      </c>
      <c r="T180" s="48" t="s">
        <v>51</v>
      </c>
    </row>
    <row r="181" spans="2:20" x14ac:dyDescent="0.25">
      <c r="B181" s="49">
        <v>121</v>
      </c>
      <c r="C181" s="471" t="s">
        <v>217</v>
      </c>
      <c r="D181" s="471"/>
      <c r="E181" s="471"/>
      <c r="F181" s="471"/>
      <c r="G181" s="125">
        <v>126</v>
      </c>
      <c r="H181" s="129"/>
      <c r="I181" s="471" t="s">
        <v>213</v>
      </c>
      <c r="J181" s="471"/>
      <c r="K181" s="471"/>
      <c r="L181" s="125">
        <v>128</v>
      </c>
      <c r="M181" s="495"/>
      <c r="N181" s="496"/>
      <c r="O181" s="497"/>
      <c r="P181" s="471" t="s">
        <v>214</v>
      </c>
      <c r="Q181" s="471"/>
      <c r="R181" s="125">
        <v>571</v>
      </c>
      <c r="S181" s="134">
        <f t="shared" si="0"/>
        <v>0</v>
      </c>
      <c r="T181" s="48" t="s">
        <v>51</v>
      </c>
    </row>
    <row r="182" spans="2:20" x14ac:dyDescent="0.25">
      <c r="B182" s="49">
        <v>122</v>
      </c>
      <c r="C182" s="471" t="s">
        <v>218</v>
      </c>
      <c r="D182" s="471"/>
      <c r="E182" s="471"/>
      <c r="F182" s="471"/>
      <c r="G182" s="125">
        <v>572</v>
      </c>
      <c r="H182" s="129"/>
      <c r="I182" s="471" t="s">
        <v>213</v>
      </c>
      <c r="J182" s="471"/>
      <c r="K182" s="471"/>
      <c r="L182" s="125">
        <v>568</v>
      </c>
      <c r="M182" s="489"/>
      <c r="N182" s="490"/>
      <c r="O182" s="491"/>
      <c r="P182" s="471" t="s">
        <v>214</v>
      </c>
      <c r="Q182" s="471"/>
      <c r="R182" s="125">
        <v>590</v>
      </c>
      <c r="S182" s="134">
        <f t="shared" si="0"/>
        <v>0</v>
      </c>
      <c r="T182" s="48" t="s">
        <v>51</v>
      </c>
    </row>
    <row r="183" spans="2:20" ht="15.75" thickBot="1" x14ac:dyDescent="0.3">
      <c r="B183" s="51">
        <v>123</v>
      </c>
      <c r="C183" s="472" t="s">
        <v>219</v>
      </c>
      <c r="D183" s="472"/>
      <c r="E183" s="472"/>
      <c r="F183" s="472"/>
      <c r="G183" s="15">
        <v>768</v>
      </c>
      <c r="H183" s="30"/>
      <c r="I183" s="472" t="s">
        <v>213</v>
      </c>
      <c r="J183" s="472"/>
      <c r="K183" s="472"/>
      <c r="L183" s="15">
        <v>769</v>
      </c>
      <c r="M183" s="492"/>
      <c r="N183" s="493"/>
      <c r="O183" s="494"/>
      <c r="P183" s="472" t="s">
        <v>214</v>
      </c>
      <c r="Q183" s="472"/>
      <c r="R183" s="15">
        <v>770</v>
      </c>
      <c r="S183" s="134">
        <f t="shared" si="0"/>
        <v>0</v>
      </c>
      <c r="T183" s="17" t="s">
        <v>51</v>
      </c>
    </row>
    <row r="184" spans="2:20" x14ac:dyDescent="0.25">
      <c r="B184" s="3"/>
      <c r="C184" s="31"/>
      <c r="D184" s="31"/>
      <c r="E184" s="31"/>
      <c r="F184" s="31"/>
      <c r="G184" s="3"/>
      <c r="H184" s="32"/>
      <c r="I184" s="31"/>
      <c r="J184" s="31"/>
      <c r="K184" s="31"/>
      <c r="L184" s="3"/>
      <c r="M184" s="32"/>
      <c r="N184" s="32"/>
      <c r="O184" s="32"/>
      <c r="P184" s="31"/>
      <c r="Q184" s="31"/>
      <c r="R184" s="3"/>
      <c r="S184" s="33">
        <f>+S124+S134+S160+S168+S175-S178-S179-S180-S181-S183</f>
        <v>72581.199999999983</v>
      </c>
      <c r="T184" s="3"/>
    </row>
    <row r="185" spans="2:20" ht="15.75" thickBot="1" x14ac:dyDescent="0.3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33">
        <f>+S118+S184</f>
        <v>72581.199999999983</v>
      </c>
      <c r="T185" s="9"/>
    </row>
    <row r="186" spans="2:20" ht="15.75" thickBot="1" x14ac:dyDescent="0.3">
      <c r="B186" s="22">
        <v>124</v>
      </c>
      <c r="C186" s="483" t="s">
        <v>220</v>
      </c>
      <c r="D186" s="483"/>
      <c r="E186" s="483"/>
      <c r="F186" s="483"/>
      <c r="G186" s="483"/>
      <c r="H186" s="483"/>
      <c r="I186" s="483"/>
      <c r="J186" s="483"/>
      <c r="K186" s="483"/>
      <c r="L186" s="483"/>
      <c r="M186" s="483"/>
      <c r="N186" s="483"/>
      <c r="O186" s="483"/>
      <c r="P186" s="483"/>
      <c r="Q186" s="483"/>
      <c r="R186" s="23">
        <v>547</v>
      </c>
      <c r="S186" s="34">
        <f>IF(S184=0,0,IF(S185&gt;0,S185,-(S185)))</f>
        <v>72581.199999999983</v>
      </c>
      <c r="T186" s="25" t="s">
        <v>65</v>
      </c>
    </row>
    <row r="187" spans="2:20" ht="15.75" thickBot="1" x14ac:dyDescent="0.3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2:20" x14ac:dyDescent="0.25">
      <c r="B188" s="484" t="s">
        <v>221</v>
      </c>
      <c r="C188" s="485"/>
      <c r="D188" s="485"/>
      <c r="E188" s="485"/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P188" s="485"/>
      <c r="Q188" s="485"/>
      <c r="R188" s="485"/>
      <c r="S188" s="485"/>
      <c r="T188" s="46"/>
    </row>
    <row r="189" spans="2:20" x14ac:dyDescent="0.25">
      <c r="B189" s="49">
        <v>125</v>
      </c>
      <c r="C189" s="471" t="s">
        <v>222</v>
      </c>
      <c r="D189" s="471"/>
      <c r="E189" s="471"/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P189" s="471"/>
      <c r="Q189" s="471"/>
      <c r="R189" s="125">
        <v>728</v>
      </c>
      <c r="S189" s="127"/>
      <c r="T189" s="48"/>
    </row>
    <row r="190" spans="2:20" x14ac:dyDescent="0.25">
      <c r="B190" s="49">
        <v>126</v>
      </c>
      <c r="C190" s="471" t="s">
        <v>223</v>
      </c>
      <c r="D190" s="471"/>
      <c r="E190" s="471"/>
      <c r="F190" s="471"/>
      <c r="G190" s="471"/>
      <c r="H190" s="471"/>
      <c r="I190" s="471"/>
      <c r="J190" s="471"/>
      <c r="K190" s="471"/>
      <c r="L190" s="471"/>
      <c r="M190" s="471"/>
      <c r="N190" s="471"/>
      <c r="O190" s="471"/>
      <c r="P190" s="471"/>
      <c r="Q190" s="471"/>
      <c r="R190" s="125">
        <v>707</v>
      </c>
      <c r="S190" s="127"/>
      <c r="T190" s="48"/>
    </row>
    <row r="191" spans="2:20" x14ac:dyDescent="0.25">
      <c r="B191" s="49">
        <v>127</v>
      </c>
      <c r="C191" s="471" t="s">
        <v>224</v>
      </c>
      <c r="D191" s="471"/>
      <c r="E191" s="471"/>
      <c r="F191" s="471"/>
      <c r="G191" s="471"/>
      <c r="H191" s="471"/>
      <c r="I191" s="471"/>
      <c r="J191" s="471"/>
      <c r="K191" s="471"/>
      <c r="L191" s="471"/>
      <c r="M191" s="471"/>
      <c r="N191" s="471"/>
      <c r="O191" s="471"/>
      <c r="P191" s="471"/>
      <c r="Q191" s="471"/>
      <c r="R191" s="125">
        <v>73</v>
      </c>
      <c r="S191" s="127"/>
      <c r="T191" s="48"/>
    </row>
    <row r="192" spans="2:20" x14ac:dyDescent="0.25">
      <c r="B192" s="49">
        <v>128</v>
      </c>
      <c r="C192" s="471" t="s">
        <v>225</v>
      </c>
      <c r="D192" s="471"/>
      <c r="E192" s="471"/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P192" s="471"/>
      <c r="Q192" s="471"/>
      <c r="R192" s="125">
        <v>130</v>
      </c>
      <c r="S192" s="127"/>
      <c r="T192" s="48"/>
    </row>
    <row r="193" spans="2:20" x14ac:dyDescent="0.25">
      <c r="B193" s="49">
        <v>129</v>
      </c>
      <c r="C193" s="471" t="s">
        <v>226</v>
      </c>
      <c r="D193" s="471"/>
      <c r="E193" s="471"/>
      <c r="F193" s="471"/>
      <c r="G193" s="471"/>
      <c r="H193" s="471"/>
      <c r="I193" s="471"/>
      <c r="J193" s="471"/>
      <c r="K193" s="471"/>
      <c r="L193" s="471"/>
      <c r="M193" s="471"/>
      <c r="N193" s="471"/>
      <c r="O193" s="471"/>
      <c r="P193" s="471"/>
      <c r="Q193" s="471"/>
      <c r="R193" s="125">
        <v>591</v>
      </c>
      <c r="S193" s="127"/>
      <c r="T193" s="48"/>
    </row>
    <row r="194" spans="2:20" ht="15.75" thickBot="1" x14ac:dyDescent="0.3">
      <c r="B194" s="14">
        <v>130</v>
      </c>
      <c r="C194" s="472" t="s">
        <v>227</v>
      </c>
      <c r="D194" s="472"/>
      <c r="E194" s="472"/>
      <c r="F194" s="472"/>
      <c r="G194" s="472"/>
      <c r="H194" s="472"/>
      <c r="I194" s="472"/>
      <c r="J194" s="472"/>
      <c r="K194" s="472"/>
      <c r="L194" s="472"/>
      <c r="M194" s="472"/>
      <c r="N194" s="472"/>
      <c r="O194" s="472"/>
      <c r="P194" s="472"/>
      <c r="Q194" s="472"/>
      <c r="R194" s="15">
        <v>771</v>
      </c>
      <c r="S194" s="21"/>
      <c r="T194" s="17"/>
    </row>
    <row r="195" spans="2:20" ht="15.75" thickBot="1" x14ac:dyDescent="0.3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2:20" x14ac:dyDescent="0.25">
      <c r="B196" s="18">
        <v>131</v>
      </c>
      <c r="C196" s="473" t="s">
        <v>228</v>
      </c>
      <c r="D196" s="473"/>
      <c r="E196" s="473"/>
      <c r="F196" s="473"/>
      <c r="G196" s="473"/>
      <c r="H196" s="473"/>
      <c r="I196" s="473"/>
      <c r="J196" s="473"/>
      <c r="K196" s="473"/>
      <c r="L196" s="473"/>
      <c r="M196" s="473"/>
      <c r="N196" s="473"/>
      <c r="O196" s="473"/>
      <c r="P196" s="473"/>
      <c r="Q196" s="473"/>
      <c r="R196" s="8">
        <v>91</v>
      </c>
      <c r="S196" s="35">
        <f>IF(S186&lt;0,0,IF(S186=0,S118,S186))</f>
        <v>72581.199999999983</v>
      </c>
      <c r="T196" s="20" t="s">
        <v>65</v>
      </c>
    </row>
    <row r="197" spans="2:20" x14ac:dyDescent="0.25">
      <c r="B197" s="49">
        <v>132</v>
      </c>
      <c r="C197" s="471" t="s">
        <v>229</v>
      </c>
      <c r="D197" s="471"/>
      <c r="E197" s="471"/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125">
        <v>92</v>
      </c>
      <c r="S197" s="134">
        <f>+Multas!D17</f>
        <v>0</v>
      </c>
      <c r="T197" s="48" t="s">
        <v>44</v>
      </c>
    </row>
    <row r="198" spans="2:20" x14ac:dyDescent="0.25">
      <c r="B198" s="49">
        <v>133</v>
      </c>
      <c r="C198" s="471" t="s">
        <v>230</v>
      </c>
      <c r="D198" s="471"/>
      <c r="E198" s="471"/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P198" s="471"/>
      <c r="Q198" s="471"/>
      <c r="R198" s="125">
        <v>93</v>
      </c>
      <c r="S198" s="134"/>
      <c r="T198" s="48" t="s">
        <v>44</v>
      </c>
    </row>
    <row r="199" spans="2:20" x14ac:dyDescent="0.25">
      <c r="B199" s="474"/>
      <c r="C199" s="476" t="s">
        <v>231</v>
      </c>
      <c r="D199" s="478" t="s">
        <v>232</v>
      </c>
      <c r="E199" s="479"/>
      <c r="F199" s="125">
        <v>922</v>
      </c>
      <c r="G199" s="478"/>
      <c r="H199" s="479"/>
      <c r="I199" s="478" t="s">
        <v>233</v>
      </c>
      <c r="J199" s="479"/>
      <c r="K199" s="125">
        <v>915</v>
      </c>
      <c r="L199" s="142"/>
      <c r="M199" s="478" t="s">
        <v>234</v>
      </c>
      <c r="N199" s="479"/>
      <c r="O199" s="125">
        <v>60</v>
      </c>
      <c r="P199" s="478"/>
      <c r="Q199" s="479"/>
      <c r="R199" s="486"/>
      <c r="S199" s="487"/>
      <c r="T199" s="488"/>
    </row>
    <row r="200" spans="2:20" x14ac:dyDescent="0.25">
      <c r="B200" s="475"/>
      <c r="C200" s="477"/>
      <c r="D200" s="480" t="s">
        <v>235</v>
      </c>
      <c r="E200" s="481"/>
      <c r="F200" s="481"/>
      <c r="G200" s="481"/>
      <c r="H200" s="481"/>
      <c r="I200" s="481"/>
      <c r="J200" s="481"/>
      <c r="K200" s="481"/>
      <c r="L200" s="481"/>
      <c r="M200" s="481"/>
      <c r="N200" s="481"/>
      <c r="O200" s="481"/>
      <c r="P200" s="481"/>
      <c r="Q200" s="482"/>
      <c r="R200" s="118">
        <v>795</v>
      </c>
      <c r="S200" s="134"/>
      <c r="T200" s="140" t="s">
        <v>51</v>
      </c>
    </row>
    <row r="201" spans="2:20" ht="15.75" thickBot="1" x14ac:dyDescent="0.3">
      <c r="B201" s="10">
        <v>134</v>
      </c>
      <c r="C201" s="470" t="s">
        <v>236</v>
      </c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52">
        <v>94</v>
      </c>
      <c r="S201" s="16">
        <f>IF(AND(S197=0,S198=0),0,S196+S197+S198-S200)</f>
        <v>0</v>
      </c>
      <c r="T201" s="17" t="s">
        <v>65</v>
      </c>
    </row>
    <row r="202" spans="2:20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x14ac:dyDescent="0.25">
      <c r="B203" s="3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</sheetData>
  <mergeCells count="341">
    <mergeCell ref="C7:H7"/>
    <mergeCell ref="J7:N7"/>
    <mergeCell ref="P7:T7"/>
    <mergeCell ref="B8:H8"/>
    <mergeCell ref="I8:N8"/>
    <mergeCell ref="O8:T8"/>
    <mergeCell ref="C3:E3"/>
    <mergeCell ref="I3:M3"/>
    <mergeCell ref="Q3:S3"/>
    <mergeCell ref="C4:C5"/>
    <mergeCell ref="I4:I5"/>
    <mergeCell ref="J4:M5"/>
    <mergeCell ref="Q4:Q5"/>
    <mergeCell ref="R4:S5"/>
    <mergeCell ref="C14:L14"/>
    <mergeCell ref="N14:Q14"/>
    <mergeCell ref="C15:L15"/>
    <mergeCell ref="N15:Q15"/>
    <mergeCell ref="C16:L16"/>
    <mergeCell ref="N16:Q16"/>
    <mergeCell ref="B10:S10"/>
    <mergeCell ref="B11:S11"/>
    <mergeCell ref="B12:S12"/>
    <mergeCell ref="B13:L13"/>
    <mergeCell ref="M13:Q13"/>
    <mergeCell ref="R13:T13"/>
    <mergeCell ref="R20:S20"/>
    <mergeCell ref="C21:L21"/>
    <mergeCell ref="N21:Q21"/>
    <mergeCell ref="C22:L22"/>
    <mergeCell ref="N22:Q22"/>
    <mergeCell ref="C23:L23"/>
    <mergeCell ref="N23:Q23"/>
    <mergeCell ref="C17:L17"/>
    <mergeCell ref="N17:Q17"/>
    <mergeCell ref="C18:L18"/>
    <mergeCell ref="N18:Q18"/>
    <mergeCell ref="C19:Q19"/>
    <mergeCell ref="B20:L20"/>
    <mergeCell ref="M20:Q20"/>
    <mergeCell ref="C27:L27"/>
    <mergeCell ref="N27:Q27"/>
    <mergeCell ref="C28:L28"/>
    <mergeCell ref="N28:Q28"/>
    <mergeCell ref="C29:L29"/>
    <mergeCell ref="N29:Q29"/>
    <mergeCell ref="C24:L24"/>
    <mergeCell ref="N24:Q24"/>
    <mergeCell ref="C25:L25"/>
    <mergeCell ref="N25:Q25"/>
    <mergeCell ref="C26:L26"/>
    <mergeCell ref="N26:Q26"/>
    <mergeCell ref="C34:Q34"/>
    <mergeCell ref="C35:E35"/>
    <mergeCell ref="K35:M35"/>
    <mergeCell ref="P35:Q35"/>
    <mergeCell ref="C36:Q36"/>
    <mergeCell ref="C37:Q37"/>
    <mergeCell ref="C30:L30"/>
    <mergeCell ref="N30:Q30"/>
    <mergeCell ref="C31:L31"/>
    <mergeCell ref="N31:Q31"/>
    <mergeCell ref="C32:Q32"/>
    <mergeCell ref="C33:Q33"/>
    <mergeCell ref="B43:S43"/>
    <mergeCell ref="B44:L44"/>
    <mergeCell ref="M44:Q44"/>
    <mergeCell ref="R44:T44"/>
    <mergeCell ref="C45:L45"/>
    <mergeCell ref="N45:Q45"/>
    <mergeCell ref="B39:S39"/>
    <mergeCell ref="B40:S40"/>
    <mergeCell ref="B41:L41"/>
    <mergeCell ref="M41:Q41"/>
    <mergeCell ref="R41:T41"/>
    <mergeCell ref="C42:L42"/>
    <mergeCell ref="N42:Q42"/>
    <mergeCell ref="B50:L50"/>
    <mergeCell ref="M50:Q50"/>
    <mergeCell ref="R50:T50"/>
    <mergeCell ref="C51:L51"/>
    <mergeCell ref="N51:Q51"/>
    <mergeCell ref="C52:L52"/>
    <mergeCell ref="N52:Q52"/>
    <mergeCell ref="C46:L46"/>
    <mergeCell ref="N46:Q46"/>
    <mergeCell ref="C47:L47"/>
    <mergeCell ref="N47:Q47"/>
    <mergeCell ref="B48:S48"/>
    <mergeCell ref="B49:S49"/>
    <mergeCell ref="C56:L56"/>
    <mergeCell ref="N56:Q56"/>
    <mergeCell ref="B57:S57"/>
    <mergeCell ref="C58:L58"/>
    <mergeCell ref="N58:Q58"/>
    <mergeCell ref="C59:L59"/>
    <mergeCell ref="N59:Q59"/>
    <mergeCell ref="C53:L53"/>
    <mergeCell ref="N53:Q53"/>
    <mergeCell ref="C54:L54"/>
    <mergeCell ref="N54:Q54"/>
    <mergeCell ref="C55:L55"/>
    <mergeCell ref="N55:Q55"/>
    <mergeCell ref="C66:Q66"/>
    <mergeCell ref="C67:Q67"/>
    <mergeCell ref="B68:S68"/>
    <mergeCell ref="B69:I69"/>
    <mergeCell ref="J69:M69"/>
    <mergeCell ref="N69:Q69"/>
    <mergeCell ref="R69:T69"/>
    <mergeCell ref="C60:Q60"/>
    <mergeCell ref="C61:Q61"/>
    <mergeCell ref="C62:Q62"/>
    <mergeCell ref="C63:Q63"/>
    <mergeCell ref="C64:Q64"/>
    <mergeCell ref="C65:Q65"/>
    <mergeCell ref="S70:S71"/>
    <mergeCell ref="T70:T71"/>
    <mergeCell ref="P71:Q71"/>
    <mergeCell ref="B72:B73"/>
    <mergeCell ref="C72:I73"/>
    <mergeCell ref="J72:J73"/>
    <mergeCell ref="K72:M73"/>
    <mergeCell ref="P72:Q72"/>
    <mergeCell ref="R72:R73"/>
    <mergeCell ref="S72:S73"/>
    <mergeCell ref="B70:B71"/>
    <mergeCell ref="C70:I71"/>
    <mergeCell ref="J70:J71"/>
    <mergeCell ref="K70:M71"/>
    <mergeCell ref="P70:Q70"/>
    <mergeCell ref="R70:R71"/>
    <mergeCell ref="B79:Q79"/>
    <mergeCell ref="R79:T79"/>
    <mergeCell ref="C80:E80"/>
    <mergeCell ref="G80:H80"/>
    <mergeCell ref="J80:K80"/>
    <mergeCell ref="N80:O80"/>
    <mergeCell ref="P80:Q80"/>
    <mergeCell ref="T72:T73"/>
    <mergeCell ref="P73:Q73"/>
    <mergeCell ref="C74:Q74"/>
    <mergeCell ref="C75:Q75"/>
    <mergeCell ref="C76:Q76"/>
    <mergeCell ref="C77:Q77"/>
    <mergeCell ref="B83:Q83"/>
    <mergeCell ref="R83:T83"/>
    <mergeCell ref="C84:E84"/>
    <mergeCell ref="G84:H84"/>
    <mergeCell ref="J84:K84"/>
    <mergeCell ref="N84:O84"/>
    <mergeCell ref="P84:Q84"/>
    <mergeCell ref="B81:Q81"/>
    <mergeCell ref="R81:T81"/>
    <mergeCell ref="C82:E82"/>
    <mergeCell ref="G82:H82"/>
    <mergeCell ref="J82:K82"/>
    <mergeCell ref="N82:O82"/>
    <mergeCell ref="P82:Q82"/>
    <mergeCell ref="C87:E87"/>
    <mergeCell ref="G87:H87"/>
    <mergeCell ref="I87:Q87"/>
    <mergeCell ref="C88:E88"/>
    <mergeCell ref="G88:H88"/>
    <mergeCell ref="I88:Q88"/>
    <mergeCell ref="C85:E85"/>
    <mergeCell ref="G85:H85"/>
    <mergeCell ref="I85:Q85"/>
    <mergeCell ref="C86:E86"/>
    <mergeCell ref="G86:H86"/>
    <mergeCell ref="I86:Q86"/>
    <mergeCell ref="C90:Q90"/>
    <mergeCell ref="C91:Q91"/>
    <mergeCell ref="B93:S93"/>
    <mergeCell ref="B94:S94"/>
    <mergeCell ref="C95:Q95"/>
    <mergeCell ref="B96:B97"/>
    <mergeCell ref="C96:F97"/>
    <mergeCell ref="G96:H97"/>
    <mergeCell ref="I96:I97"/>
    <mergeCell ref="J96:L96"/>
    <mergeCell ref="J97:L97"/>
    <mergeCell ref="N97:O97"/>
    <mergeCell ref="C98:Q98"/>
    <mergeCell ref="C99:Q99"/>
    <mergeCell ref="C100:Q100"/>
    <mergeCell ref="C101:Q101"/>
    <mergeCell ref="M96:M97"/>
    <mergeCell ref="N96:O96"/>
    <mergeCell ref="P96:Q97"/>
    <mergeCell ref="R107:T107"/>
    <mergeCell ref="D108:E108"/>
    <mergeCell ref="J108:L108"/>
    <mergeCell ref="P108:Q108"/>
    <mergeCell ref="R96:R97"/>
    <mergeCell ref="S96:S97"/>
    <mergeCell ref="T96:T97"/>
    <mergeCell ref="C109:F109"/>
    <mergeCell ref="J109:L109"/>
    <mergeCell ref="P109:Q109"/>
    <mergeCell ref="C102:Q102"/>
    <mergeCell ref="C103:Q103"/>
    <mergeCell ref="C104:Q104"/>
    <mergeCell ref="C105:Q105"/>
    <mergeCell ref="B106:S106"/>
    <mergeCell ref="D107:F107"/>
    <mergeCell ref="G107:H107"/>
    <mergeCell ref="I107:L107"/>
    <mergeCell ref="M107:N107"/>
    <mergeCell ref="O107:Q107"/>
    <mergeCell ref="C110:F110"/>
    <mergeCell ref="J110:L110"/>
    <mergeCell ref="P110:Q110"/>
    <mergeCell ref="C111:Q111"/>
    <mergeCell ref="B112:B113"/>
    <mergeCell ref="C112:F113"/>
    <mergeCell ref="G112:H112"/>
    <mergeCell ref="I112:L112"/>
    <mergeCell ref="M112:O112"/>
    <mergeCell ref="P112:T112"/>
    <mergeCell ref="C118:Q118"/>
    <mergeCell ref="B120:S120"/>
    <mergeCell ref="B121:Q121"/>
    <mergeCell ref="R121:T121"/>
    <mergeCell ref="C122:Q122"/>
    <mergeCell ref="C123:Q123"/>
    <mergeCell ref="J113:L113"/>
    <mergeCell ref="N113:O113"/>
    <mergeCell ref="P113:Q113"/>
    <mergeCell ref="C114:Q114"/>
    <mergeCell ref="C115:Q115"/>
    <mergeCell ref="C116:Q116"/>
    <mergeCell ref="C131:Q131"/>
    <mergeCell ref="C132:Q132"/>
    <mergeCell ref="C133:Q133"/>
    <mergeCell ref="C134:H134"/>
    <mergeCell ref="J134:L134"/>
    <mergeCell ref="M134:Q134"/>
    <mergeCell ref="C124:Q124"/>
    <mergeCell ref="B126:S126"/>
    <mergeCell ref="C127:Q127"/>
    <mergeCell ref="C128:Q128"/>
    <mergeCell ref="C129:Q129"/>
    <mergeCell ref="C130:Q130"/>
    <mergeCell ref="C141:Q141"/>
    <mergeCell ref="C142:Q142"/>
    <mergeCell ref="C143:Q143"/>
    <mergeCell ref="C144:Q144"/>
    <mergeCell ref="C145:Q145"/>
    <mergeCell ref="C146:Q146"/>
    <mergeCell ref="B136:S136"/>
    <mergeCell ref="B137:Q137"/>
    <mergeCell ref="R137:T137"/>
    <mergeCell ref="C138:Q138"/>
    <mergeCell ref="C139:Q139"/>
    <mergeCell ref="C140:Q140"/>
    <mergeCell ref="C150:L150"/>
    <mergeCell ref="N150:P150"/>
    <mergeCell ref="C151:L151"/>
    <mergeCell ref="N151:P151"/>
    <mergeCell ref="C152:L152"/>
    <mergeCell ref="N152:P152"/>
    <mergeCell ref="B147:L147"/>
    <mergeCell ref="M147:Q147"/>
    <mergeCell ref="R147:T147"/>
    <mergeCell ref="C148:L148"/>
    <mergeCell ref="N148:P148"/>
    <mergeCell ref="C149:L149"/>
    <mergeCell ref="N149:P149"/>
    <mergeCell ref="C160:H160"/>
    <mergeCell ref="J160:M160"/>
    <mergeCell ref="N160:Q160"/>
    <mergeCell ref="B162:S162"/>
    <mergeCell ref="B163:T163"/>
    <mergeCell ref="C164:Q164"/>
    <mergeCell ref="C153:Q153"/>
    <mergeCell ref="C154:Q154"/>
    <mergeCell ref="C155:Q155"/>
    <mergeCell ref="C156:Q156"/>
    <mergeCell ref="C157:Q157"/>
    <mergeCell ref="C158:Q158"/>
    <mergeCell ref="B170:T170"/>
    <mergeCell ref="C171:Q171"/>
    <mergeCell ref="C172:Q172"/>
    <mergeCell ref="C173:Q173"/>
    <mergeCell ref="C174:Q174"/>
    <mergeCell ref="C175:H175"/>
    <mergeCell ref="J175:L175"/>
    <mergeCell ref="N175:Q175"/>
    <mergeCell ref="C165:Q165"/>
    <mergeCell ref="C166:Q166"/>
    <mergeCell ref="C167:Q167"/>
    <mergeCell ref="C168:H168"/>
    <mergeCell ref="J168:M168"/>
    <mergeCell ref="N168:Q168"/>
    <mergeCell ref="B177:S177"/>
    <mergeCell ref="C178:F178"/>
    <mergeCell ref="I178:K178"/>
    <mergeCell ref="M178:O178"/>
    <mergeCell ref="P178:Q178"/>
    <mergeCell ref="C179:F179"/>
    <mergeCell ref="I179:K179"/>
    <mergeCell ref="M179:O179"/>
    <mergeCell ref="P179:Q179"/>
    <mergeCell ref="C182:F182"/>
    <mergeCell ref="I182:K182"/>
    <mergeCell ref="M182:O182"/>
    <mergeCell ref="P182:Q182"/>
    <mergeCell ref="C183:F183"/>
    <mergeCell ref="I183:K183"/>
    <mergeCell ref="M183:O183"/>
    <mergeCell ref="P183:Q183"/>
    <mergeCell ref="C180:F180"/>
    <mergeCell ref="I180:K180"/>
    <mergeCell ref="M180:O180"/>
    <mergeCell ref="P180:Q180"/>
    <mergeCell ref="C181:F181"/>
    <mergeCell ref="I181:K181"/>
    <mergeCell ref="M181:O181"/>
    <mergeCell ref="P181:Q181"/>
    <mergeCell ref="C186:Q186"/>
    <mergeCell ref="B188:S188"/>
    <mergeCell ref="C189:Q189"/>
    <mergeCell ref="C190:Q190"/>
    <mergeCell ref="C191:Q191"/>
    <mergeCell ref="C192:Q192"/>
    <mergeCell ref="M199:N199"/>
    <mergeCell ref="P199:Q199"/>
    <mergeCell ref="R199:T199"/>
    <mergeCell ref="C201:Q201"/>
    <mergeCell ref="C193:Q193"/>
    <mergeCell ref="C194:Q194"/>
    <mergeCell ref="C196:Q196"/>
    <mergeCell ref="C197:Q197"/>
    <mergeCell ref="C198:Q198"/>
    <mergeCell ref="B199:B200"/>
    <mergeCell ref="C199:C200"/>
    <mergeCell ref="D199:E199"/>
    <mergeCell ref="G199:H199"/>
    <mergeCell ref="I199:J199"/>
    <mergeCell ref="D200:Q200"/>
  </mergeCells>
  <pageMargins left="0.7" right="0.7" top="0.75" bottom="0.75" header="0.3" footer="0.3"/>
  <pageSetup scale="4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0700-5AC6-4B9F-B039-502D18854D6F}">
  <sheetPr>
    <tabColor rgb="FF00B0F0"/>
  </sheetPr>
  <dimension ref="B2:AA224"/>
  <sheetViews>
    <sheetView showGridLines="0" view="pageBreakPreview" zoomScale="80" zoomScaleNormal="75" zoomScaleSheetLayoutView="80" workbookViewId="0">
      <pane ySplit="8" topLeftCell="A106" activePane="bottomLeft" state="frozen"/>
      <selection pane="bottomLeft" activeCell="S124" sqref="S124"/>
    </sheetView>
  </sheetViews>
  <sheetFormatPr baseColWidth="10" defaultColWidth="11.42578125" defaultRowHeight="15" x14ac:dyDescent="0.25"/>
  <cols>
    <col min="1" max="1" width="3.5703125" style="1" customWidth="1"/>
    <col min="2" max="2" width="4.7109375" style="1" bestFit="1" customWidth="1"/>
    <col min="3" max="3" width="14.42578125" style="1" customWidth="1"/>
    <col min="4" max="5" width="11.42578125" style="1"/>
    <col min="6" max="7" width="4.7109375" style="1" bestFit="1" customWidth="1"/>
    <col min="8" max="8" width="11.42578125" style="1"/>
    <col min="9" max="9" width="5.28515625" style="1" bestFit="1" customWidth="1"/>
    <col min="10" max="10" width="4.7109375" style="1" bestFit="1" customWidth="1"/>
    <col min="11" max="11" width="21.140625" style="1" customWidth="1"/>
    <col min="12" max="12" width="11.42578125" style="1"/>
    <col min="13" max="13" width="6.85546875" style="1" customWidth="1"/>
    <col min="14" max="14" width="8.28515625" style="1" bestFit="1" customWidth="1"/>
    <col min="15" max="15" width="4.7109375" style="1" bestFit="1" customWidth="1"/>
    <col min="16" max="16" width="17.5703125" style="1" customWidth="1"/>
    <col min="17" max="17" width="2.42578125" style="1" bestFit="1" customWidth="1"/>
    <col min="18" max="18" width="4.7109375" style="1" bestFit="1" customWidth="1"/>
    <col min="19" max="19" width="17.85546875" style="1" customWidth="1"/>
    <col min="20" max="20" width="2.42578125" style="1" bestFit="1" customWidth="1"/>
    <col min="21" max="21" width="11.42578125" style="1"/>
    <col min="22" max="22" width="6.5703125" style="1" customWidth="1"/>
    <col min="23" max="16384" width="11.42578125" style="1"/>
  </cols>
  <sheetData>
    <row r="2" spans="2:20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x14ac:dyDescent="0.25">
      <c r="B3" s="3"/>
      <c r="C3" s="551" t="s">
        <v>21</v>
      </c>
      <c r="D3" s="552"/>
      <c r="E3" s="553"/>
      <c r="F3" s="3"/>
      <c r="G3" s="3"/>
      <c r="H3" s="3"/>
      <c r="I3" s="551" t="s">
        <v>22</v>
      </c>
      <c r="J3" s="552"/>
      <c r="K3" s="552"/>
      <c r="L3" s="552"/>
      <c r="M3" s="553"/>
      <c r="N3" s="3"/>
      <c r="O3" s="3"/>
      <c r="P3" s="3"/>
      <c r="Q3" s="551" t="s">
        <v>23</v>
      </c>
      <c r="R3" s="552"/>
      <c r="S3" s="553"/>
      <c r="T3" s="3"/>
    </row>
    <row r="4" spans="2:20" x14ac:dyDescent="0.25">
      <c r="B4" s="2"/>
      <c r="C4" s="554">
        <v>15</v>
      </c>
      <c r="D4" s="123" t="s">
        <v>24</v>
      </c>
      <c r="E4" s="4" t="s">
        <v>25</v>
      </c>
      <c r="F4" s="2"/>
      <c r="G4" s="2"/>
      <c r="H4" s="2"/>
      <c r="I4" s="554">
        <v>3</v>
      </c>
      <c r="J4" s="556">
        <f>+Indice!B9</f>
        <v>0</v>
      </c>
      <c r="K4" s="556"/>
      <c r="L4" s="556"/>
      <c r="M4" s="557"/>
      <c r="N4" s="2"/>
      <c r="O4" s="2"/>
      <c r="P4" s="2"/>
      <c r="Q4" s="554">
        <v>7</v>
      </c>
      <c r="R4" s="560"/>
      <c r="S4" s="561"/>
      <c r="T4" s="2"/>
    </row>
    <row r="5" spans="2:20" ht="15.75" thickBot="1" x14ac:dyDescent="0.3">
      <c r="B5" s="2"/>
      <c r="C5" s="555"/>
      <c r="D5" s="5">
        <v>9</v>
      </c>
      <c r="E5" s="6">
        <v>2024</v>
      </c>
      <c r="F5" s="2"/>
      <c r="G5" s="2"/>
      <c r="H5" s="2"/>
      <c r="I5" s="555"/>
      <c r="J5" s="558"/>
      <c r="K5" s="558"/>
      <c r="L5" s="558"/>
      <c r="M5" s="559"/>
      <c r="N5" s="2"/>
      <c r="O5" s="2"/>
      <c r="P5" s="2"/>
      <c r="Q5" s="555"/>
      <c r="R5" s="562"/>
      <c r="S5" s="563"/>
      <c r="T5" s="2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25">
      <c r="B7" s="7">
        <v>1</v>
      </c>
      <c r="C7" s="485" t="s">
        <v>26</v>
      </c>
      <c r="D7" s="485"/>
      <c r="E7" s="485"/>
      <c r="F7" s="485"/>
      <c r="G7" s="485"/>
      <c r="H7" s="485"/>
      <c r="I7" s="8">
        <v>2</v>
      </c>
      <c r="J7" s="485" t="s">
        <v>27</v>
      </c>
      <c r="K7" s="485"/>
      <c r="L7" s="485"/>
      <c r="M7" s="485"/>
      <c r="N7" s="485"/>
      <c r="O7" s="8">
        <v>5</v>
      </c>
      <c r="P7" s="485" t="s">
        <v>28</v>
      </c>
      <c r="Q7" s="485"/>
      <c r="R7" s="485"/>
      <c r="S7" s="485"/>
      <c r="T7" s="498"/>
    </row>
    <row r="8" spans="2:20" ht="15.75" thickBot="1" x14ac:dyDescent="0.3">
      <c r="B8" s="564"/>
      <c r="C8" s="562"/>
      <c r="D8" s="562"/>
      <c r="E8" s="562"/>
      <c r="F8" s="562"/>
      <c r="G8" s="562"/>
      <c r="H8" s="562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6"/>
    </row>
    <row r="9" spans="2:20" ht="15.75" thickBot="1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x14ac:dyDescent="0.25">
      <c r="B10" s="484" t="s">
        <v>29</v>
      </c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6"/>
    </row>
    <row r="11" spans="2:20" x14ac:dyDescent="0.25">
      <c r="B11" s="518" t="s">
        <v>30</v>
      </c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47"/>
    </row>
    <row r="12" spans="2:20" x14ac:dyDescent="0.25">
      <c r="B12" s="518" t="s">
        <v>31</v>
      </c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47"/>
    </row>
    <row r="13" spans="2:20" x14ac:dyDescent="0.25">
      <c r="B13" s="503" t="s">
        <v>32</v>
      </c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 t="s">
        <v>33</v>
      </c>
      <c r="N13" s="504"/>
      <c r="O13" s="504"/>
      <c r="P13" s="504"/>
      <c r="Q13" s="504"/>
      <c r="R13" s="504" t="s">
        <v>34</v>
      </c>
      <c r="S13" s="504"/>
      <c r="T13" s="505"/>
    </row>
    <row r="14" spans="2:20" x14ac:dyDescent="0.25">
      <c r="B14" s="49">
        <v>1</v>
      </c>
      <c r="C14" s="471" t="s">
        <v>35</v>
      </c>
      <c r="D14" s="471"/>
      <c r="E14" s="471"/>
      <c r="F14" s="471"/>
      <c r="G14" s="471"/>
      <c r="H14" s="471"/>
      <c r="I14" s="471"/>
      <c r="J14" s="471"/>
      <c r="K14" s="471"/>
      <c r="L14" s="471"/>
      <c r="M14" s="125">
        <v>585</v>
      </c>
      <c r="N14" s="506"/>
      <c r="O14" s="506"/>
      <c r="P14" s="506"/>
      <c r="Q14" s="506"/>
      <c r="R14" s="125">
        <v>20</v>
      </c>
      <c r="S14" s="127"/>
      <c r="T14" s="48"/>
    </row>
    <row r="15" spans="2:20" x14ac:dyDescent="0.25">
      <c r="B15" s="49">
        <v>2</v>
      </c>
      <c r="C15" s="471" t="s">
        <v>36</v>
      </c>
      <c r="D15" s="471"/>
      <c r="E15" s="471"/>
      <c r="F15" s="471"/>
      <c r="G15" s="471"/>
      <c r="H15" s="471"/>
      <c r="I15" s="471"/>
      <c r="J15" s="471"/>
      <c r="K15" s="471"/>
      <c r="L15" s="471"/>
      <c r="M15" s="125">
        <v>586</v>
      </c>
      <c r="N15" s="541"/>
      <c r="O15" s="541"/>
      <c r="P15" s="541"/>
      <c r="Q15" s="541"/>
      <c r="R15" s="125">
        <v>142</v>
      </c>
      <c r="S15" s="129"/>
      <c r="T15" s="48"/>
    </row>
    <row r="16" spans="2:20" x14ac:dyDescent="0.25">
      <c r="B16" s="49">
        <v>3</v>
      </c>
      <c r="C16" s="471" t="s">
        <v>37</v>
      </c>
      <c r="D16" s="471"/>
      <c r="E16" s="471"/>
      <c r="F16" s="471"/>
      <c r="G16" s="471"/>
      <c r="H16" s="471"/>
      <c r="I16" s="471"/>
      <c r="J16" s="471"/>
      <c r="K16" s="471"/>
      <c r="L16" s="471"/>
      <c r="M16" s="125">
        <v>731</v>
      </c>
      <c r="N16" s="506"/>
      <c r="O16" s="506"/>
      <c r="P16" s="506"/>
      <c r="Q16" s="506"/>
      <c r="R16" s="125">
        <v>732</v>
      </c>
      <c r="S16" s="127"/>
      <c r="T16" s="48"/>
    </row>
    <row r="17" spans="2:20" x14ac:dyDescent="0.25">
      <c r="B17" s="49">
        <v>4</v>
      </c>
      <c r="C17" s="471" t="s">
        <v>38</v>
      </c>
      <c r="D17" s="471"/>
      <c r="E17" s="471"/>
      <c r="F17" s="471"/>
      <c r="G17" s="471"/>
      <c r="H17" s="471"/>
      <c r="I17" s="471"/>
      <c r="J17" s="471"/>
      <c r="K17" s="471"/>
      <c r="L17" s="471"/>
      <c r="M17" s="125">
        <v>714</v>
      </c>
      <c r="N17" s="506"/>
      <c r="O17" s="506"/>
      <c r="P17" s="506"/>
      <c r="Q17" s="506"/>
      <c r="R17" s="125">
        <v>715</v>
      </c>
      <c r="S17" s="127"/>
      <c r="T17" s="48"/>
    </row>
    <row r="18" spans="2:20" x14ac:dyDescent="0.25">
      <c r="B18" s="49">
        <v>5</v>
      </c>
      <c r="C18" s="471" t="s">
        <v>39</v>
      </c>
      <c r="D18" s="471"/>
      <c r="E18" s="471"/>
      <c r="F18" s="471"/>
      <c r="G18" s="471"/>
      <c r="H18" s="471"/>
      <c r="I18" s="471"/>
      <c r="J18" s="471"/>
      <c r="K18" s="471"/>
      <c r="L18" s="471"/>
      <c r="M18" s="125">
        <v>515</v>
      </c>
      <c r="N18" s="506"/>
      <c r="O18" s="506"/>
      <c r="P18" s="506"/>
      <c r="Q18" s="506"/>
      <c r="R18" s="125">
        <v>587</v>
      </c>
      <c r="S18" s="127"/>
      <c r="T18" s="48"/>
    </row>
    <row r="19" spans="2:20" x14ac:dyDescent="0.25">
      <c r="B19" s="49">
        <v>6</v>
      </c>
      <c r="C19" s="471" t="s">
        <v>40</v>
      </c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125">
        <v>720</v>
      </c>
      <c r="S19" s="127"/>
      <c r="T19" s="48"/>
    </row>
    <row r="20" spans="2:20" x14ac:dyDescent="0.25">
      <c r="B20" s="503" t="s">
        <v>41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 t="s">
        <v>33</v>
      </c>
      <c r="N20" s="504"/>
      <c r="O20" s="504"/>
      <c r="P20" s="504"/>
      <c r="Q20" s="504"/>
      <c r="R20" s="504" t="s">
        <v>42</v>
      </c>
      <c r="S20" s="504"/>
      <c r="T20" s="47"/>
    </row>
    <row r="21" spans="2:20" x14ac:dyDescent="0.25">
      <c r="B21" s="244">
        <v>7</v>
      </c>
      <c r="C21" s="520" t="s">
        <v>43</v>
      </c>
      <c r="D21" s="520"/>
      <c r="E21" s="520"/>
      <c r="F21" s="520"/>
      <c r="G21" s="520"/>
      <c r="H21" s="520"/>
      <c r="I21" s="520"/>
      <c r="J21" s="520"/>
      <c r="K21" s="520"/>
      <c r="L21" s="520"/>
      <c r="M21" s="245">
        <v>503</v>
      </c>
      <c r="N21" s="521">
        <f>SUM('Ej.3 IVA Simp Art.29'!M72)</f>
        <v>1</v>
      </c>
      <c r="O21" s="521"/>
      <c r="P21" s="521"/>
      <c r="Q21" s="521"/>
      <c r="R21" s="245">
        <v>502</v>
      </c>
      <c r="S21" s="283">
        <f>SUM('Ej.3 IVA Simp Art.29'!O73)</f>
        <v>380000</v>
      </c>
      <c r="T21" s="48" t="s">
        <v>44</v>
      </c>
    </row>
    <row r="22" spans="2:20" x14ac:dyDescent="0.25">
      <c r="B22" s="49">
        <v>8</v>
      </c>
      <c r="C22" s="471" t="s">
        <v>45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125">
        <v>763</v>
      </c>
      <c r="N22" s="506"/>
      <c r="O22" s="506"/>
      <c r="P22" s="506"/>
      <c r="Q22" s="506"/>
      <c r="R22" s="125">
        <v>764</v>
      </c>
      <c r="S22" s="129"/>
      <c r="T22" s="48" t="s">
        <v>44</v>
      </c>
    </row>
    <row r="23" spans="2:20" x14ac:dyDescent="0.25">
      <c r="B23" s="49">
        <v>9</v>
      </c>
      <c r="C23" s="471" t="s">
        <v>46</v>
      </c>
      <c r="D23" s="471"/>
      <c r="E23" s="471"/>
      <c r="F23" s="471"/>
      <c r="G23" s="471"/>
      <c r="H23" s="471"/>
      <c r="I23" s="471"/>
      <c r="J23" s="471"/>
      <c r="K23" s="471"/>
      <c r="L23" s="471"/>
      <c r="M23" s="125">
        <v>716</v>
      </c>
      <c r="N23" s="506"/>
      <c r="O23" s="506"/>
      <c r="P23" s="506"/>
      <c r="Q23" s="506"/>
      <c r="R23" s="125">
        <v>717</v>
      </c>
      <c r="S23" s="129"/>
      <c r="T23" s="48" t="s">
        <v>44</v>
      </c>
    </row>
    <row r="24" spans="2:20" x14ac:dyDescent="0.25">
      <c r="B24" s="49">
        <v>10</v>
      </c>
      <c r="C24" s="471" t="s">
        <v>47</v>
      </c>
      <c r="D24" s="471"/>
      <c r="E24" s="471"/>
      <c r="F24" s="471"/>
      <c r="G24" s="471"/>
      <c r="H24" s="471"/>
      <c r="I24" s="471"/>
      <c r="J24" s="471"/>
      <c r="K24" s="471"/>
      <c r="L24" s="471"/>
      <c r="M24" s="125">
        <v>110</v>
      </c>
      <c r="N24" s="541"/>
      <c r="O24" s="541"/>
      <c r="P24" s="541"/>
      <c r="Q24" s="541"/>
      <c r="R24" s="125">
        <v>111</v>
      </c>
      <c r="S24" s="129"/>
      <c r="T24" s="48" t="s">
        <v>44</v>
      </c>
    </row>
    <row r="25" spans="2:20" x14ac:dyDescent="0.25">
      <c r="B25" s="49">
        <v>11</v>
      </c>
      <c r="C25" s="471" t="s">
        <v>48</v>
      </c>
      <c r="D25" s="471"/>
      <c r="E25" s="471"/>
      <c r="F25" s="471"/>
      <c r="G25" s="471"/>
      <c r="H25" s="471"/>
      <c r="I25" s="471"/>
      <c r="J25" s="471"/>
      <c r="K25" s="471"/>
      <c r="L25" s="471"/>
      <c r="M25" s="125">
        <v>758</v>
      </c>
      <c r="N25" s="541"/>
      <c r="O25" s="541"/>
      <c r="P25" s="541"/>
      <c r="Q25" s="541"/>
      <c r="R25" s="125">
        <v>759</v>
      </c>
      <c r="S25" s="129"/>
      <c r="T25" s="48" t="s">
        <v>44</v>
      </c>
    </row>
    <row r="26" spans="2:20" x14ac:dyDescent="0.25">
      <c r="B26" s="49">
        <v>12</v>
      </c>
      <c r="C26" s="471" t="s">
        <v>49</v>
      </c>
      <c r="D26" s="471"/>
      <c r="E26" s="471"/>
      <c r="F26" s="471"/>
      <c r="G26" s="471"/>
      <c r="H26" s="471"/>
      <c r="I26" s="471"/>
      <c r="J26" s="471"/>
      <c r="K26" s="471"/>
      <c r="L26" s="471"/>
      <c r="M26" s="125">
        <v>512</v>
      </c>
      <c r="N26" s="541"/>
      <c r="O26" s="541"/>
      <c r="P26" s="541"/>
      <c r="Q26" s="541"/>
      <c r="R26" s="125">
        <v>513</v>
      </c>
      <c r="S26" s="129"/>
      <c r="T26" s="48" t="s">
        <v>44</v>
      </c>
    </row>
    <row r="27" spans="2:20" x14ac:dyDescent="0.25">
      <c r="B27" s="49">
        <v>13</v>
      </c>
      <c r="C27" s="471" t="s">
        <v>50</v>
      </c>
      <c r="D27" s="471"/>
      <c r="E27" s="471"/>
      <c r="F27" s="471"/>
      <c r="G27" s="471"/>
      <c r="H27" s="471"/>
      <c r="I27" s="471"/>
      <c r="J27" s="471"/>
      <c r="K27" s="471"/>
      <c r="L27" s="471"/>
      <c r="M27" s="125">
        <v>509</v>
      </c>
      <c r="N27" s="541"/>
      <c r="O27" s="541"/>
      <c r="P27" s="541"/>
      <c r="Q27" s="541"/>
      <c r="R27" s="125">
        <v>510</v>
      </c>
      <c r="S27" s="129"/>
      <c r="T27" s="48" t="s">
        <v>51</v>
      </c>
    </row>
    <row r="28" spans="2:20" x14ac:dyDescent="0.25">
      <c r="B28" s="49">
        <v>14</v>
      </c>
      <c r="C28" s="471" t="s">
        <v>52</v>
      </c>
      <c r="D28" s="471"/>
      <c r="E28" s="471"/>
      <c r="F28" s="471"/>
      <c r="G28" s="471"/>
      <c r="H28" s="471"/>
      <c r="I28" s="471"/>
      <c r="J28" s="471"/>
      <c r="K28" s="471"/>
      <c r="L28" s="471"/>
      <c r="M28" s="125">
        <v>708</v>
      </c>
      <c r="N28" s="541"/>
      <c r="O28" s="541"/>
      <c r="P28" s="541"/>
      <c r="Q28" s="541"/>
      <c r="R28" s="125">
        <v>709</v>
      </c>
      <c r="S28" s="129"/>
      <c r="T28" s="48" t="s">
        <v>51</v>
      </c>
    </row>
    <row r="29" spans="2:20" x14ac:dyDescent="0.25">
      <c r="B29" s="49">
        <v>15</v>
      </c>
      <c r="C29" s="471" t="s">
        <v>53</v>
      </c>
      <c r="D29" s="471"/>
      <c r="E29" s="471"/>
      <c r="F29" s="471"/>
      <c r="G29" s="471"/>
      <c r="H29" s="471"/>
      <c r="I29" s="471"/>
      <c r="J29" s="471"/>
      <c r="K29" s="471"/>
      <c r="L29" s="471"/>
      <c r="M29" s="125">
        <v>733</v>
      </c>
      <c r="N29" s="506"/>
      <c r="O29" s="506"/>
      <c r="P29" s="506"/>
      <c r="Q29" s="506"/>
      <c r="R29" s="125">
        <v>734</v>
      </c>
      <c r="S29" s="129"/>
      <c r="T29" s="48" t="s">
        <v>51</v>
      </c>
    </row>
    <row r="30" spans="2:20" x14ac:dyDescent="0.25">
      <c r="B30" s="49">
        <v>16</v>
      </c>
      <c r="C30" s="471" t="s">
        <v>54</v>
      </c>
      <c r="D30" s="471"/>
      <c r="E30" s="471"/>
      <c r="F30" s="471"/>
      <c r="G30" s="471"/>
      <c r="H30" s="471"/>
      <c r="I30" s="471"/>
      <c r="J30" s="471"/>
      <c r="K30" s="471"/>
      <c r="L30" s="471"/>
      <c r="M30" s="125">
        <v>516</v>
      </c>
      <c r="N30" s="506"/>
      <c r="O30" s="506"/>
      <c r="P30" s="506"/>
      <c r="Q30" s="506"/>
      <c r="R30" s="125">
        <v>517</v>
      </c>
      <c r="S30" s="129"/>
      <c r="T30" s="48" t="s">
        <v>44</v>
      </c>
    </row>
    <row r="31" spans="2:20" x14ac:dyDescent="0.25">
      <c r="B31" s="49">
        <v>17</v>
      </c>
      <c r="C31" s="471" t="s">
        <v>55</v>
      </c>
      <c r="D31" s="471"/>
      <c r="E31" s="471"/>
      <c r="F31" s="471"/>
      <c r="G31" s="471"/>
      <c r="H31" s="471"/>
      <c r="I31" s="471"/>
      <c r="J31" s="471"/>
      <c r="K31" s="471"/>
      <c r="L31" s="471"/>
      <c r="M31" s="125">
        <v>500</v>
      </c>
      <c r="N31" s="506"/>
      <c r="O31" s="506"/>
      <c r="P31" s="506"/>
      <c r="Q31" s="506"/>
      <c r="R31" s="125">
        <v>501</v>
      </c>
      <c r="S31" s="129"/>
      <c r="T31" s="48" t="s">
        <v>44</v>
      </c>
    </row>
    <row r="32" spans="2:20" x14ac:dyDescent="0.25">
      <c r="B32" s="49">
        <v>18</v>
      </c>
      <c r="C32" s="471" t="s">
        <v>56</v>
      </c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125">
        <v>154</v>
      </c>
      <c r="S32" s="129"/>
      <c r="T32" s="48" t="s">
        <v>44</v>
      </c>
    </row>
    <row r="33" spans="2:27" x14ac:dyDescent="0.25">
      <c r="B33" s="49">
        <v>19</v>
      </c>
      <c r="C33" s="471" t="s">
        <v>57</v>
      </c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125">
        <v>518</v>
      </c>
      <c r="S33" s="129"/>
      <c r="T33" s="48" t="s">
        <v>44</v>
      </c>
    </row>
    <row r="34" spans="2:27" x14ac:dyDescent="0.25">
      <c r="B34" s="49">
        <v>20</v>
      </c>
      <c r="C34" s="471" t="s">
        <v>58</v>
      </c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125">
        <v>713</v>
      </c>
      <c r="S34" s="129"/>
      <c r="T34" s="48" t="s">
        <v>44</v>
      </c>
    </row>
    <row r="35" spans="2:27" x14ac:dyDescent="0.25">
      <c r="B35" s="49">
        <v>21</v>
      </c>
      <c r="C35" s="471" t="s">
        <v>59</v>
      </c>
      <c r="D35" s="471"/>
      <c r="E35" s="471"/>
      <c r="F35" s="124" t="s">
        <v>60</v>
      </c>
      <c r="G35" s="125">
        <v>738</v>
      </c>
      <c r="H35" s="126"/>
      <c r="I35" s="124" t="s">
        <v>61</v>
      </c>
      <c r="J35" s="125">
        <v>739</v>
      </c>
      <c r="K35" s="506"/>
      <c r="L35" s="506"/>
      <c r="M35" s="506"/>
      <c r="N35" s="124" t="s">
        <v>62</v>
      </c>
      <c r="O35" s="125">
        <v>740</v>
      </c>
      <c r="P35" s="506"/>
      <c r="Q35" s="506"/>
      <c r="R35" s="125">
        <v>741</v>
      </c>
      <c r="S35" s="129"/>
      <c r="T35" s="48" t="s">
        <v>44</v>
      </c>
    </row>
    <row r="36" spans="2:27" x14ac:dyDescent="0.25">
      <c r="B36" s="117">
        <v>22</v>
      </c>
      <c r="C36" s="478" t="s">
        <v>63</v>
      </c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479"/>
      <c r="R36" s="118">
        <v>791</v>
      </c>
      <c r="S36" s="130"/>
      <c r="T36" s="48" t="s">
        <v>44</v>
      </c>
    </row>
    <row r="37" spans="2:27" ht="15.75" thickBot="1" x14ac:dyDescent="0.3">
      <c r="B37" s="10">
        <v>23</v>
      </c>
      <c r="C37" s="470" t="s">
        <v>64</v>
      </c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52">
        <v>538</v>
      </c>
      <c r="S37" s="50">
        <f>+S21+S22+S23+S24+S25+S26-S27-S28-S29+S30+S31+S32+S33+S34+S35+S36</f>
        <v>380000</v>
      </c>
      <c r="T37" s="11" t="s">
        <v>65</v>
      </c>
    </row>
    <row r="38" spans="2:27" ht="15.75" thickBot="1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2:27" x14ac:dyDescent="0.25">
      <c r="B39" s="484" t="s">
        <v>66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6"/>
    </row>
    <row r="40" spans="2:27" ht="18" customHeight="1" x14ac:dyDescent="0.25">
      <c r="B40" s="518" t="s">
        <v>67</v>
      </c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47"/>
    </row>
    <row r="41" spans="2:27" ht="27" customHeight="1" x14ac:dyDescent="0.25">
      <c r="B41" s="503" t="s">
        <v>69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 t="s">
        <v>70</v>
      </c>
      <c r="N41" s="504"/>
      <c r="O41" s="504"/>
      <c r="P41" s="504"/>
      <c r="Q41" s="504"/>
      <c r="R41" s="504" t="s">
        <v>71</v>
      </c>
      <c r="S41" s="504"/>
      <c r="T41" s="505"/>
    </row>
    <row r="42" spans="2:27" x14ac:dyDescent="0.25">
      <c r="B42" s="49">
        <v>24</v>
      </c>
      <c r="C42" s="471" t="s">
        <v>74</v>
      </c>
      <c r="D42" s="471"/>
      <c r="E42" s="471"/>
      <c r="F42" s="471"/>
      <c r="G42" s="471"/>
      <c r="H42" s="471"/>
      <c r="I42" s="471"/>
      <c r="J42" s="471"/>
      <c r="K42" s="471"/>
      <c r="L42" s="471"/>
      <c r="M42" s="125">
        <v>511</v>
      </c>
      <c r="N42" s="601"/>
      <c r="O42" s="601"/>
      <c r="P42" s="601"/>
      <c r="Q42" s="601"/>
      <c r="R42" s="125">
        <v>514</v>
      </c>
      <c r="S42" s="277"/>
      <c r="T42" s="48"/>
      <c r="V42" s="77"/>
      <c r="W42" s="77"/>
      <c r="Y42" s="77"/>
      <c r="Z42" s="77"/>
      <c r="AA42" s="77"/>
    </row>
    <row r="43" spans="2:27" x14ac:dyDescent="0.25">
      <c r="B43" s="518" t="s">
        <v>75</v>
      </c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47"/>
    </row>
    <row r="44" spans="2:27" x14ac:dyDescent="0.25">
      <c r="B44" s="503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 t="s">
        <v>33</v>
      </c>
      <c r="N44" s="504"/>
      <c r="O44" s="504"/>
      <c r="P44" s="504"/>
      <c r="Q44" s="504"/>
      <c r="R44" s="504" t="s">
        <v>34</v>
      </c>
      <c r="S44" s="504"/>
      <c r="T44" s="505"/>
    </row>
    <row r="45" spans="2:27" x14ac:dyDescent="0.25">
      <c r="B45" s="49">
        <v>25</v>
      </c>
      <c r="C45" s="471" t="s">
        <v>78</v>
      </c>
      <c r="D45" s="471"/>
      <c r="E45" s="471"/>
      <c r="F45" s="471"/>
      <c r="G45" s="471"/>
      <c r="H45" s="471"/>
      <c r="I45" s="471"/>
      <c r="J45" s="471"/>
      <c r="K45" s="471"/>
      <c r="L45" s="471"/>
      <c r="M45" s="125">
        <v>564</v>
      </c>
      <c r="N45" s="600"/>
      <c r="O45" s="600"/>
      <c r="P45" s="600"/>
      <c r="Q45" s="600"/>
      <c r="R45" s="125">
        <v>521</v>
      </c>
      <c r="S45" s="277"/>
      <c r="T45" s="48"/>
      <c r="U45" s="78"/>
      <c r="V45" s="78"/>
      <c r="W45" s="78"/>
      <c r="X45" s="78"/>
      <c r="Y45" s="78"/>
    </row>
    <row r="46" spans="2:27" x14ac:dyDescent="0.25">
      <c r="B46" s="49">
        <v>26</v>
      </c>
      <c r="C46" s="471" t="s">
        <v>79</v>
      </c>
      <c r="D46" s="471"/>
      <c r="E46" s="471"/>
      <c r="F46" s="471"/>
      <c r="G46" s="471"/>
      <c r="H46" s="471"/>
      <c r="I46" s="471"/>
      <c r="J46" s="471"/>
      <c r="K46" s="471"/>
      <c r="L46" s="471"/>
      <c r="M46" s="125">
        <v>566</v>
      </c>
      <c r="N46" s="506"/>
      <c r="O46" s="506"/>
      <c r="P46" s="506"/>
      <c r="Q46" s="506"/>
      <c r="R46" s="125">
        <v>560</v>
      </c>
      <c r="S46" s="127"/>
      <c r="T46" s="48"/>
    </row>
    <row r="47" spans="2:27" x14ac:dyDescent="0.25">
      <c r="B47" s="49">
        <v>27</v>
      </c>
      <c r="C47" s="471" t="s">
        <v>80</v>
      </c>
      <c r="D47" s="471"/>
      <c r="E47" s="471"/>
      <c r="F47" s="471"/>
      <c r="G47" s="471"/>
      <c r="H47" s="471"/>
      <c r="I47" s="471"/>
      <c r="J47" s="471"/>
      <c r="K47" s="471"/>
      <c r="L47" s="471"/>
      <c r="M47" s="125">
        <v>584</v>
      </c>
      <c r="N47" s="541"/>
      <c r="O47" s="541"/>
      <c r="P47" s="541"/>
      <c r="Q47" s="541"/>
      <c r="R47" s="125">
        <v>562</v>
      </c>
      <c r="S47" s="132"/>
      <c r="T47" s="48"/>
    </row>
    <row r="48" spans="2:27" x14ac:dyDescent="0.25">
      <c r="B48" s="518" t="s">
        <v>81</v>
      </c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47"/>
    </row>
    <row r="49" spans="2:20" x14ac:dyDescent="0.25">
      <c r="B49" s="518" t="s">
        <v>82</v>
      </c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47"/>
    </row>
    <row r="50" spans="2:20" ht="30" customHeight="1" x14ac:dyDescent="0.25">
      <c r="B50" s="503"/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 t="s">
        <v>33</v>
      </c>
      <c r="N50" s="504"/>
      <c r="O50" s="504"/>
      <c r="P50" s="504"/>
      <c r="Q50" s="504"/>
      <c r="R50" s="504" t="s">
        <v>83</v>
      </c>
      <c r="S50" s="504"/>
      <c r="T50" s="505"/>
    </row>
    <row r="51" spans="2:20" x14ac:dyDescent="0.25">
      <c r="B51" s="49">
        <v>28</v>
      </c>
      <c r="C51" s="471" t="s">
        <v>84</v>
      </c>
      <c r="D51" s="471"/>
      <c r="E51" s="471"/>
      <c r="F51" s="471"/>
      <c r="G51" s="471"/>
      <c r="H51" s="471"/>
      <c r="I51" s="471"/>
      <c r="J51" s="471"/>
      <c r="K51" s="471"/>
      <c r="L51" s="471"/>
      <c r="M51" s="125">
        <v>519</v>
      </c>
      <c r="N51" s="598"/>
      <c r="O51" s="599"/>
      <c r="P51" s="599"/>
      <c r="Q51" s="599"/>
      <c r="R51" s="125">
        <v>520</v>
      </c>
      <c r="S51" s="277"/>
      <c r="T51" s="48" t="s">
        <v>44</v>
      </c>
    </row>
    <row r="52" spans="2:20" x14ac:dyDescent="0.25">
      <c r="B52" s="49">
        <v>29</v>
      </c>
      <c r="C52" s="471" t="s">
        <v>85</v>
      </c>
      <c r="D52" s="471"/>
      <c r="E52" s="471"/>
      <c r="F52" s="471"/>
      <c r="G52" s="471"/>
      <c r="H52" s="471"/>
      <c r="I52" s="471"/>
      <c r="J52" s="471"/>
      <c r="K52" s="471"/>
      <c r="L52" s="471"/>
      <c r="M52" s="125">
        <v>761</v>
      </c>
      <c r="N52" s="506"/>
      <c r="O52" s="506"/>
      <c r="P52" s="506"/>
      <c r="Q52" s="506"/>
      <c r="R52" s="125">
        <v>762</v>
      </c>
      <c r="S52" s="132"/>
      <c r="T52" s="48" t="s">
        <v>44</v>
      </c>
    </row>
    <row r="53" spans="2:20" x14ac:dyDescent="0.25">
      <c r="B53" s="49">
        <v>30</v>
      </c>
      <c r="C53" s="471" t="s">
        <v>86</v>
      </c>
      <c r="D53" s="471"/>
      <c r="E53" s="471"/>
      <c r="F53" s="471"/>
      <c r="G53" s="471"/>
      <c r="H53" s="471"/>
      <c r="I53" s="471"/>
      <c r="J53" s="471"/>
      <c r="K53" s="471"/>
      <c r="L53" s="471"/>
      <c r="M53" s="125">
        <v>765</v>
      </c>
      <c r="N53" s="506"/>
      <c r="O53" s="506"/>
      <c r="P53" s="506"/>
      <c r="Q53" s="506"/>
      <c r="R53" s="125">
        <v>766</v>
      </c>
      <c r="S53" s="132"/>
      <c r="T53" s="48" t="s">
        <v>44</v>
      </c>
    </row>
    <row r="54" spans="2:20" x14ac:dyDescent="0.25">
      <c r="B54" s="49">
        <v>31</v>
      </c>
      <c r="C54" s="471" t="s">
        <v>87</v>
      </c>
      <c r="D54" s="471"/>
      <c r="E54" s="471"/>
      <c r="F54" s="471"/>
      <c r="G54" s="471"/>
      <c r="H54" s="471"/>
      <c r="I54" s="471"/>
      <c r="J54" s="471"/>
      <c r="K54" s="471"/>
      <c r="L54" s="471"/>
      <c r="M54" s="125">
        <v>524</v>
      </c>
      <c r="N54" s="541"/>
      <c r="O54" s="541"/>
      <c r="P54" s="541"/>
      <c r="Q54" s="541"/>
      <c r="R54" s="125">
        <v>525</v>
      </c>
      <c r="S54" s="132"/>
      <c r="T54" s="48" t="s">
        <v>44</v>
      </c>
    </row>
    <row r="55" spans="2:20" x14ac:dyDescent="0.25">
      <c r="B55" s="49">
        <v>32</v>
      </c>
      <c r="C55" s="471" t="s">
        <v>89</v>
      </c>
      <c r="D55" s="471"/>
      <c r="E55" s="471"/>
      <c r="F55" s="471"/>
      <c r="G55" s="471"/>
      <c r="H55" s="471"/>
      <c r="I55" s="471"/>
      <c r="J55" s="471"/>
      <c r="K55" s="471"/>
      <c r="L55" s="471"/>
      <c r="M55" s="125">
        <v>527</v>
      </c>
      <c r="N55" s="541"/>
      <c r="O55" s="541"/>
      <c r="P55" s="541"/>
      <c r="Q55" s="541"/>
      <c r="R55" s="125">
        <v>528</v>
      </c>
      <c r="S55" s="132"/>
      <c r="T55" s="48" t="s">
        <v>51</v>
      </c>
    </row>
    <row r="56" spans="2:20" x14ac:dyDescent="0.25">
      <c r="B56" s="49">
        <v>33</v>
      </c>
      <c r="C56" s="471" t="s">
        <v>90</v>
      </c>
      <c r="D56" s="471"/>
      <c r="E56" s="471"/>
      <c r="F56" s="471"/>
      <c r="G56" s="471"/>
      <c r="H56" s="471"/>
      <c r="I56" s="471"/>
      <c r="J56" s="471"/>
      <c r="K56" s="471"/>
      <c r="L56" s="471"/>
      <c r="M56" s="125">
        <v>531</v>
      </c>
      <c r="N56" s="506"/>
      <c r="O56" s="506"/>
      <c r="P56" s="506"/>
      <c r="Q56" s="506"/>
      <c r="R56" s="125">
        <v>532</v>
      </c>
      <c r="S56" s="132"/>
      <c r="T56" s="48" t="s">
        <v>44</v>
      </c>
    </row>
    <row r="57" spans="2:20" x14ac:dyDescent="0.25">
      <c r="B57" s="518" t="s">
        <v>91</v>
      </c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47"/>
    </row>
    <row r="58" spans="2:20" ht="15" customHeight="1" x14ac:dyDescent="0.25">
      <c r="B58" s="49">
        <v>34</v>
      </c>
      <c r="C58" s="471" t="s">
        <v>92</v>
      </c>
      <c r="D58" s="471"/>
      <c r="E58" s="471"/>
      <c r="F58" s="471"/>
      <c r="G58" s="471"/>
      <c r="H58" s="471"/>
      <c r="I58" s="471"/>
      <c r="J58" s="471"/>
      <c r="K58" s="471"/>
      <c r="L58" s="471"/>
      <c r="M58" s="125">
        <v>534</v>
      </c>
      <c r="N58" s="506"/>
      <c r="O58" s="506"/>
      <c r="P58" s="506"/>
      <c r="Q58" s="506"/>
      <c r="R58" s="125">
        <v>535</v>
      </c>
      <c r="S58" s="132"/>
      <c r="T58" s="48" t="s">
        <v>44</v>
      </c>
    </row>
    <row r="59" spans="2:20" x14ac:dyDescent="0.25">
      <c r="B59" s="49">
        <v>35</v>
      </c>
      <c r="C59" s="471" t="s">
        <v>93</v>
      </c>
      <c r="D59" s="471"/>
      <c r="E59" s="471"/>
      <c r="F59" s="471"/>
      <c r="G59" s="471"/>
      <c r="H59" s="471"/>
      <c r="I59" s="471"/>
      <c r="J59" s="471"/>
      <c r="K59" s="471"/>
      <c r="L59" s="471"/>
      <c r="M59" s="125">
        <v>536</v>
      </c>
      <c r="N59" s="506"/>
      <c r="O59" s="506"/>
      <c r="P59" s="506"/>
      <c r="Q59" s="506"/>
      <c r="R59" s="125">
        <v>553</v>
      </c>
      <c r="S59" s="132"/>
      <c r="T59" s="48" t="s">
        <v>44</v>
      </c>
    </row>
    <row r="60" spans="2:20" x14ac:dyDescent="0.25">
      <c r="B60" s="49">
        <v>36</v>
      </c>
      <c r="C60" s="471" t="s">
        <v>94</v>
      </c>
      <c r="D60" s="471"/>
      <c r="E60" s="471"/>
      <c r="F60" s="471"/>
      <c r="G60" s="471"/>
      <c r="H60" s="471"/>
      <c r="I60" s="471"/>
      <c r="J60" s="471"/>
      <c r="K60" s="471"/>
      <c r="L60" s="471"/>
      <c r="M60" s="471"/>
      <c r="N60" s="471"/>
      <c r="O60" s="471"/>
      <c r="P60" s="471"/>
      <c r="Q60" s="471"/>
      <c r="R60" s="125">
        <v>504</v>
      </c>
      <c r="S60" s="133"/>
      <c r="T60" s="48" t="s">
        <v>44</v>
      </c>
    </row>
    <row r="61" spans="2:20" x14ac:dyDescent="0.25">
      <c r="B61" s="49">
        <v>37</v>
      </c>
      <c r="C61" s="471" t="s">
        <v>95</v>
      </c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125">
        <v>593</v>
      </c>
      <c r="S61" s="132"/>
      <c r="T61" s="48" t="s">
        <v>51</v>
      </c>
    </row>
    <row r="62" spans="2:20" x14ac:dyDescent="0.25">
      <c r="B62" s="49">
        <v>38</v>
      </c>
      <c r="C62" s="471" t="s">
        <v>96</v>
      </c>
      <c r="D62" s="471"/>
      <c r="E62" s="471"/>
      <c r="F62" s="471"/>
      <c r="G62" s="471"/>
      <c r="H62" s="471"/>
      <c r="I62" s="471"/>
      <c r="J62" s="471"/>
      <c r="K62" s="471"/>
      <c r="L62" s="471"/>
      <c r="M62" s="471"/>
      <c r="N62" s="471"/>
      <c r="O62" s="471"/>
      <c r="P62" s="471"/>
      <c r="Q62" s="471"/>
      <c r="R62" s="125">
        <v>594</v>
      </c>
      <c r="S62" s="132"/>
      <c r="T62" s="48" t="s">
        <v>51</v>
      </c>
    </row>
    <row r="63" spans="2:20" x14ac:dyDescent="0.25">
      <c r="B63" s="49">
        <v>39</v>
      </c>
      <c r="C63" s="471" t="s">
        <v>97</v>
      </c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1"/>
      <c r="R63" s="125">
        <v>592</v>
      </c>
      <c r="S63" s="132"/>
      <c r="T63" s="48" t="s">
        <v>51</v>
      </c>
    </row>
    <row r="64" spans="2:20" x14ac:dyDescent="0.25">
      <c r="B64" s="49">
        <v>40</v>
      </c>
      <c r="C64" s="471" t="s">
        <v>98</v>
      </c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125">
        <v>539</v>
      </c>
      <c r="S64" s="132"/>
      <c r="T64" s="48" t="s">
        <v>51</v>
      </c>
    </row>
    <row r="65" spans="2:20" x14ac:dyDescent="0.25">
      <c r="B65" s="49">
        <v>41</v>
      </c>
      <c r="C65" s="471" t="s">
        <v>99</v>
      </c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1"/>
      <c r="R65" s="125">
        <v>718</v>
      </c>
      <c r="S65" s="132"/>
      <c r="T65" s="48" t="s">
        <v>51</v>
      </c>
    </row>
    <row r="66" spans="2:20" x14ac:dyDescent="0.25">
      <c r="B66" s="49">
        <v>42</v>
      </c>
      <c r="C66" s="471" t="s">
        <v>100</v>
      </c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71"/>
      <c r="O66" s="471"/>
      <c r="P66" s="471"/>
      <c r="Q66" s="471"/>
      <c r="R66" s="125">
        <v>790</v>
      </c>
      <c r="S66" s="132"/>
      <c r="T66" s="48" t="s">
        <v>51</v>
      </c>
    </row>
    <row r="67" spans="2:20" x14ac:dyDescent="0.25">
      <c r="B67" s="49">
        <v>43</v>
      </c>
      <c r="C67" s="471" t="s">
        <v>101</v>
      </c>
      <c r="D67" s="471"/>
      <c r="E67" s="471"/>
      <c r="F67" s="471"/>
      <c r="G67" s="471"/>
      <c r="H67" s="471"/>
      <c r="I67" s="471"/>
      <c r="J67" s="471"/>
      <c r="K67" s="471"/>
      <c r="L67" s="471"/>
      <c r="M67" s="471"/>
      <c r="N67" s="471"/>
      <c r="O67" s="471"/>
      <c r="P67" s="471"/>
      <c r="Q67" s="471"/>
      <c r="R67" s="125">
        <v>164</v>
      </c>
      <c r="S67" s="132"/>
      <c r="T67" s="48" t="s">
        <v>44</v>
      </c>
    </row>
    <row r="68" spans="2:20" x14ac:dyDescent="0.25">
      <c r="B68" s="518" t="s">
        <v>102</v>
      </c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47"/>
    </row>
    <row r="69" spans="2:20" ht="32.25" customHeight="1" x14ac:dyDescent="0.25">
      <c r="B69" s="503"/>
      <c r="C69" s="504"/>
      <c r="D69" s="504"/>
      <c r="E69" s="504"/>
      <c r="F69" s="504"/>
      <c r="G69" s="504"/>
      <c r="H69" s="504"/>
      <c r="I69" s="504"/>
      <c r="J69" s="504" t="s">
        <v>103</v>
      </c>
      <c r="K69" s="504"/>
      <c r="L69" s="504"/>
      <c r="M69" s="504"/>
      <c r="N69" s="504" t="s">
        <v>104</v>
      </c>
      <c r="O69" s="504"/>
      <c r="P69" s="504"/>
      <c r="Q69" s="504"/>
      <c r="R69" s="504"/>
      <c r="S69" s="504"/>
      <c r="T69" s="505"/>
    </row>
    <row r="70" spans="2:20" x14ac:dyDescent="0.25">
      <c r="B70" s="526">
        <v>44</v>
      </c>
      <c r="C70" s="471" t="s">
        <v>105</v>
      </c>
      <c r="D70" s="471"/>
      <c r="E70" s="471"/>
      <c r="F70" s="471"/>
      <c r="G70" s="471"/>
      <c r="H70" s="471"/>
      <c r="I70" s="471"/>
      <c r="J70" s="516">
        <v>730</v>
      </c>
      <c r="K70" s="506"/>
      <c r="L70" s="506"/>
      <c r="M70" s="506"/>
      <c r="N70" s="124" t="s">
        <v>61</v>
      </c>
      <c r="O70" s="125">
        <v>742</v>
      </c>
      <c r="P70" s="506"/>
      <c r="Q70" s="506"/>
      <c r="R70" s="516">
        <v>127</v>
      </c>
      <c r="S70" s="540"/>
      <c r="T70" s="525" t="s">
        <v>44</v>
      </c>
    </row>
    <row r="71" spans="2:20" x14ac:dyDescent="0.25">
      <c r="B71" s="526"/>
      <c r="C71" s="471"/>
      <c r="D71" s="471"/>
      <c r="E71" s="471"/>
      <c r="F71" s="471"/>
      <c r="G71" s="471"/>
      <c r="H71" s="471"/>
      <c r="I71" s="471"/>
      <c r="J71" s="516"/>
      <c r="K71" s="506"/>
      <c r="L71" s="506"/>
      <c r="M71" s="506"/>
      <c r="N71" s="124" t="s">
        <v>62</v>
      </c>
      <c r="O71" s="125">
        <v>743</v>
      </c>
      <c r="P71" s="506"/>
      <c r="Q71" s="506"/>
      <c r="R71" s="516"/>
      <c r="S71" s="540"/>
      <c r="T71" s="525"/>
    </row>
    <row r="72" spans="2:20" x14ac:dyDescent="0.25">
      <c r="B72" s="526">
        <v>45</v>
      </c>
      <c r="C72" s="471" t="s">
        <v>106</v>
      </c>
      <c r="D72" s="471"/>
      <c r="E72" s="471"/>
      <c r="F72" s="471"/>
      <c r="G72" s="471"/>
      <c r="H72" s="471"/>
      <c r="I72" s="471"/>
      <c r="J72" s="516">
        <v>729</v>
      </c>
      <c r="K72" s="506"/>
      <c r="L72" s="506"/>
      <c r="M72" s="506"/>
      <c r="N72" s="124" t="s">
        <v>61</v>
      </c>
      <c r="O72" s="125">
        <v>744</v>
      </c>
      <c r="P72" s="506"/>
      <c r="Q72" s="506"/>
      <c r="R72" s="516">
        <v>544</v>
      </c>
      <c r="S72" s="540"/>
      <c r="T72" s="525" t="s">
        <v>44</v>
      </c>
    </row>
    <row r="73" spans="2:20" x14ac:dyDescent="0.25">
      <c r="B73" s="526"/>
      <c r="C73" s="471"/>
      <c r="D73" s="471"/>
      <c r="E73" s="471"/>
      <c r="F73" s="471"/>
      <c r="G73" s="471"/>
      <c r="H73" s="471"/>
      <c r="I73" s="471"/>
      <c r="J73" s="516"/>
      <c r="K73" s="506"/>
      <c r="L73" s="506"/>
      <c r="M73" s="506"/>
      <c r="N73" s="124" t="s">
        <v>62</v>
      </c>
      <c r="O73" s="125">
        <v>745</v>
      </c>
      <c r="P73" s="506"/>
      <c r="Q73" s="506"/>
      <c r="R73" s="516"/>
      <c r="S73" s="540"/>
      <c r="T73" s="525"/>
    </row>
    <row r="74" spans="2:20" x14ac:dyDescent="0.25">
      <c r="B74" s="49">
        <v>46</v>
      </c>
      <c r="C74" s="471" t="s">
        <v>107</v>
      </c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125">
        <v>523</v>
      </c>
      <c r="S74" s="127"/>
      <c r="T74" s="48" t="s">
        <v>44</v>
      </c>
    </row>
    <row r="75" spans="2:20" x14ac:dyDescent="0.25">
      <c r="B75" s="49">
        <v>47</v>
      </c>
      <c r="C75" s="471" t="s">
        <v>108</v>
      </c>
      <c r="D75" s="471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125">
        <v>712</v>
      </c>
      <c r="S75" s="127"/>
      <c r="T75" s="48" t="s">
        <v>44</v>
      </c>
    </row>
    <row r="76" spans="2:20" x14ac:dyDescent="0.25">
      <c r="B76" s="49">
        <v>48</v>
      </c>
      <c r="C76" s="471" t="s">
        <v>109</v>
      </c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125">
        <v>757</v>
      </c>
      <c r="S76" s="127"/>
      <c r="T76" s="48" t="s">
        <v>44</v>
      </c>
    </row>
    <row r="77" spans="2:20" ht="15.75" thickBot="1" x14ac:dyDescent="0.3">
      <c r="B77" s="10">
        <v>49</v>
      </c>
      <c r="C77" s="470" t="s">
        <v>110</v>
      </c>
      <c r="D77" s="470"/>
      <c r="E77" s="470"/>
      <c r="F77" s="470"/>
      <c r="G77" s="470"/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52">
        <v>537</v>
      </c>
      <c r="S77" s="12">
        <f>+S51+S52+S53+S54+S56-S55+S58+S59+S60+S67-S61-S62-S63-S64-S65+S70+S72+S74+S75+S76-S66</f>
        <v>0</v>
      </c>
      <c r="T77" s="11" t="s">
        <v>65</v>
      </c>
    </row>
    <row r="78" spans="2:20" ht="15.75" thickBot="1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5">
      <c r="B79" s="484" t="s">
        <v>111</v>
      </c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 t="s">
        <v>112</v>
      </c>
      <c r="S79" s="485"/>
      <c r="T79" s="498"/>
    </row>
    <row r="80" spans="2:20" ht="30" customHeight="1" thickBot="1" x14ac:dyDescent="0.3">
      <c r="B80" s="10">
        <v>50</v>
      </c>
      <c r="C80" s="470" t="s">
        <v>113</v>
      </c>
      <c r="D80" s="470"/>
      <c r="E80" s="470"/>
      <c r="F80" s="52">
        <v>77</v>
      </c>
      <c r="G80" s="539">
        <f>IF(S37&gt;S77,0,S77-S37)</f>
        <v>0</v>
      </c>
      <c r="H80" s="539"/>
      <c r="I80" s="52">
        <v>756</v>
      </c>
      <c r="J80" s="470" t="s">
        <v>114</v>
      </c>
      <c r="K80" s="470"/>
      <c r="L80" s="13"/>
      <c r="M80" s="52">
        <v>755</v>
      </c>
      <c r="N80" s="539">
        <f>IF(L80="SI",S37-S77,0)</f>
        <v>0</v>
      </c>
      <c r="O80" s="539"/>
      <c r="P80" s="470" t="s">
        <v>115</v>
      </c>
      <c r="Q80" s="470"/>
      <c r="R80" s="52">
        <v>89</v>
      </c>
      <c r="S80" s="50">
        <f>IF(L80="SI",0,IF(S37&gt;S77,S37-S77,0))</f>
        <v>380000</v>
      </c>
      <c r="T80" s="11" t="s">
        <v>44</v>
      </c>
    </row>
    <row r="81" spans="2:20" x14ac:dyDescent="0.25">
      <c r="B81" s="484" t="s">
        <v>116</v>
      </c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  <c r="N81" s="485"/>
      <c r="O81" s="485"/>
      <c r="P81" s="485"/>
      <c r="Q81" s="485"/>
      <c r="R81" s="485" t="s">
        <v>112</v>
      </c>
      <c r="S81" s="485"/>
      <c r="T81" s="498"/>
    </row>
    <row r="82" spans="2:20" ht="39" customHeight="1" thickBot="1" x14ac:dyDescent="0.3">
      <c r="B82" s="49">
        <v>51</v>
      </c>
      <c r="C82" s="471" t="s">
        <v>117</v>
      </c>
      <c r="D82" s="471"/>
      <c r="E82" s="471"/>
      <c r="F82" s="125">
        <v>772</v>
      </c>
      <c r="G82" s="527"/>
      <c r="H82" s="527"/>
      <c r="I82" s="125">
        <v>773</v>
      </c>
      <c r="J82" s="471" t="s">
        <v>118</v>
      </c>
      <c r="K82" s="471"/>
      <c r="L82" s="136"/>
      <c r="M82" s="125">
        <v>774</v>
      </c>
      <c r="N82" s="527"/>
      <c r="O82" s="527"/>
      <c r="P82" s="471" t="s">
        <v>119</v>
      </c>
      <c r="Q82" s="471"/>
      <c r="R82" s="125">
        <v>775</v>
      </c>
      <c r="S82" s="135"/>
      <c r="T82" s="48" t="s">
        <v>44</v>
      </c>
    </row>
    <row r="83" spans="2:20" ht="27" customHeight="1" x14ac:dyDescent="0.25">
      <c r="B83" s="484" t="s">
        <v>116</v>
      </c>
      <c r="C83" s="485"/>
      <c r="D83" s="485"/>
      <c r="E83" s="485"/>
      <c r="F83" s="485"/>
      <c r="G83" s="485"/>
      <c r="H83" s="485"/>
      <c r="I83" s="485"/>
      <c r="J83" s="485"/>
      <c r="K83" s="485"/>
      <c r="L83" s="485"/>
      <c r="M83" s="485"/>
      <c r="N83" s="485"/>
      <c r="O83" s="485"/>
      <c r="P83" s="485"/>
      <c r="Q83" s="485"/>
      <c r="R83" s="485" t="s">
        <v>112</v>
      </c>
      <c r="S83" s="485"/>
      <c r="T83" s="498"/>
    </row>
    <row r="84" spans="2:20" ht="51" customHeight="1" x14ac:dyDescent="0.25">
      <c r="B84" s="49">
        <v>52</v>
      </c>
      <c r="C84" s="471" t="s">
        <v>120</v>
      </c>
      <c r="D84" s="471"/>
      <c r="E84" s="471"/>
      <c r="F84" s="125">
        <v>777</v>
      </c>
      <c r="G84" s="527"/>
      <c r="H84" s="527"/>
      <c r="I84" s="125">
        <v>778</v>
      </c>
      <c r="J84" s="471" t="s">
        <v>121</v>
      </c>
      <c r="K84" s="471"/>
      <c r="L84" s="136"/>
      <c r="M84" s="125">
        <v>779</v>
      </c>
      <c r="N84" s="527"/>
      <c r="O84" s="527"/>
      <c r="P84" s="471" t="s">
        <v>119</v>
      </c>
      <c r="Q84" s="471"/>
      <c r="R84" s="125">
        <v>780</v>
      </c>
      <c r="S84" s="137"/>
      <c r="T84" s="48" t="s">
        <v>44</v>
      </c>
    </row>
    <row r="85" spans="2:20" x14ac:dyDescent="0.25">
      <c r="B85" s="49">
        <v>53</v>
      </c>
      <c r="C85" s="471" t="s">
        <v>122</v>
      </c>
      <c r="D85" s="471"/>
      <c r="E85" s="471"/>
      <c r="F85" s="125">
        <v>782</v>
      </c>
      <c r="G85" s="527"/>
      <c r="H85" s="527"/>
      <c r="I85" s="528" t="s">
        <v>123</v>
      </c>
      <c r="J85" s="529"/>
      <c r="K85" s="529"/>
      <c r="L85" s="529"/>
      <c r="M85" s="529"/>
      <c r="N85" s="529"/>
      <c r="O85" s="529"/>
      <c r="P85" s="529"/>
      <c r="Q85" s="530"/>
      <c r="R85" s="125">
        <v>783</v>
      </c>
      <c r="S85" s="137"/>
      <c r="T85" s="48" t="s">
        <v>44</v>
      </c>
    </row>
    <row r="86" spans="2:20" x14ac:dyDescent="0.25">
      <c r="B86" s="49">
        <v>54</v>
      </c>
      <c r="C86" s="471" t="s">
        <v>124</v>
      </c>
      <c r="D86" s="471"/>
      <c r="E86" s="471"/>
      <c r="F86" s="125">
        <v>784</v>
      </c>
      <c r="G86" s="527"/>
      <c r="H86" s="527"/>
      <c r="I86" s="528" t="s">
        <v>123</v>
      </c>
      <c r="J86" s="529"/>
      <c r="K86" s="529"/>
      <c r="L86" s="529"/>
      <c r="M86" s="529"/>
      <c r="N86" s="529"/>
      <c r="O86" s="529"/>
      <c r="P86" s="529"/>
      <c r="Q86" s="530"/>
      <c r="R86" s="125">
        <v>785</v>
      </c>
      <c r="S86" s="137"/>
      <c r="T86" s="48" t="s">
        <v>44</v>
      </c>
    </row>
    <row r="87" spans="2:20" x14ac:dyDescent="0.25">
      <c r="B87" s="49">
        <v>55</v>
      </c>
      <c r="C87" s="471" t="s">
        <v>125</v>
      </c>
      <c r="D87" s="471"/>
      <c r="E87" s="471"/>
      <c r="F87" s="125">
        <v>786</v>
      </c>
      <c r="G87" s="527"/>
      <c r="H87" s="527"/>
      <c r="I87" s="528" t="s">
        <v>123</v>
      </c>
      <c r="J87" s="529"/>
      <c r="K87" s="529"/>
      <c r="L87" s="529"/>
      <c r="M87" s="529"/>
      <c r="N87" s="529"/>
      <c r="O87" s="529"/>
      <c r="P87" s="529"/>
      <c r="Q87" s="530"/>
      <c r="R87" s="125">
        <v>787</v>
      </c>
      <c r="S87" s="137"/>
      <c r="T87" s="48" t="s">
        <v>44</v>
      </c>
    </row>
    <row r="88" spans="2:20" ht="15.75" thickBot="1" x14ac:dyDescent="0.3">
      <c r="B88" s="14">
        <v>56</v>
      </c>
      <c r="C88" s="472" t="s">
        <v>126</v>
      </c>
      <c r="D88" s="472"/>
      <c r="E88" s="472"/>
      <c r="F88" s="15">
        <v>788</v>
      </c>
      <c r="G88" s="531"/>
      <c r="H88" s="531"/>
      <c r="I88" s="532" t="s">
        <v>123</v>
      </c>
      <c r="J88" s="533"/>
      <c r="K88" s="533"/>
      <c r="L88" s="533"/>
      <c r="M88" s="533"/>
      <c r="N88" s="533"/>
      <c r="O88" s="533"/>
      <c r="P88" s="533"/>
      <c r="Q88" s="534"/>
      <c r="R88" s="15">
        <v>789</v>
      </c>
      <c r="S88" s="16"/>
      <c r="T88" s="17" t="s">
        <v>44</v>
      </c>
    </row>
    <row r="89" spans="2:20" ht="15.75" thickBot="1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0" x14ac:dyDescent="0.25">
      <c r="B90" s="18">
        <v>57</v>
      </c>
      <c r="C90" s="473" t="s">
        <v>127</v>
      </c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8">
        <v>760</v>
      </c>
      <c r="S90" s="19"/>
      <c r="T90" s="20" t="s">
        <v>44</v>
      </c>
    </row>
    <row r="91" spans="2:20" ht="15.75" thickBot="1" x14ac:dyDescent="0.3">
      <c r="B91" s="14">
        <v>58</v>
      </c>
      <c r="C91" s="472" t="s">
        <v>128</v>
      </c>
      <c r="D91" s="472"/>
      <c r="E91" s="472"/>
      <c r="F91" s="472"/>
      <c r="G91" s="472"/>
      <c r="H91" s="472"/>
      <c r="I91" s="472"/>
      <c r="J91" s="472"/>
      <c r="K91" s="472"/>
      <c r="L91" s="472"/>
      <c r="M91" s="472"/>
      <c r="N91" s="472"/>
      <c r="O91" s="472"/>
      <c r="P91" s="472"/>
      <c r="Q91" s="472"/>
      <c r="R91" s="15">
        <v>767</v>
      </c>
      <c r="S91" s="21"/>
      <c r="T91" s="17" t="s">
        <v>44</v>
      </c>
    </row>
    <row r="92" spans="2:20" ht="15.75" thickBot="1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2:20" x14ac:dyDescent="0.25">
      <c r="B93" s="484" t="s">
        <v>129</v>
      </c>
      <c r="C93" s="485"/>
      <c r="D93" s="485"/>
      <c r="E93" s="485"/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P93" s="485"/>
      <c r="Q93" s="485"/>
      <c r="R93" s="485"/>
      <c r="S93" s="485"/>
      <c r="T93" s="46"/>
    </row>
    <row r="94" spans="2:20" x14ac:dyDescent="0.25">
      <c r="B94" s="518" t="s">
        <v>130</v>
      </c>
      <c r="C94" s="519"/>
      <c r="D94" s="519"/>
      <c r="E94" s="519"/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47"/>
    </row>
    <row r="95" spans="2:20" x14ac:dyDescent="0.25">
      <c r="B95" s="49">
        <v>59</v>
      </c>
      <c r="C95" s="471" t="s">
        <v>131</v>
      </c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125">
        <v>50</v>
      </c>
      <c r="S95" s="127"/>
      <c r="T95" s="48" t="s">
        <v>44</v>
      </c>
    </row>
    <row r="96" spans="2:20" x14ac:dyDescent="0.25">
      <c r="B96" s="526">
        <v>60</v>
      </c>
      <c r="C96" s="471" t="s">
        <v>132</v>
      </c>
      <c r="D96" s="471"/>
      <c r="E96" s="471"/>
      <c r="F96" s="471"/>
      <c r="G96" s="471" t="s">
        <v>133</v>
      </c>
      <c r="H96" s="471"/>
      <c r="I96" s="516">
        <v>751</v>
      </c>
      <c r="J96" s="471" t="s">
        <v>134</v>
      </c>
      <c r="K96" s="471"/>
      <c r="L96" s="471"/>
      <c r="M96" s="516">
        <v>735</v>
      </c>
      <c r="N96" s="471" t="s">
        <v>135</v>
      </c>
      <c r="O96" s="471"/>
      <c r="P96" s="471" t="s">
        <v>136</v>
      </c>
      <c r="Q96" s="471"/>
      <c r="R96" s="516">
        <v>48</v>
      </c>
      <c r="S96" s="524"/>
      <c r="T96" s="525" t="s">
        <v>44</v>
      </c>
    </row>
    <row r="97" spans="2:20" x14ac:dyDescent="0.25">
      <c r="B97" s="526"/>
      <c r="C97" s="471"/>
      <c r="D97" s="471"/>
      <c r="E97" s="471"/>
      <c r="F97" s="471"/>
      <c r="G97" s="471"/>
      <c r="H97" s="471"/>
      <c r="I97" s="516"/>
      <c r="J97" s="506"/>
      <c r="K97" s="506"/>
      <c r="L97" s="506"/>
      <c r="M97" s="516"/>
      <c r="N97" s="506"/>
      <c r="O97" s="506"/>
      <c r="P97" s="471"/>
      <c r="Q97" s="471"/>
      <c r="R97" s="516"/>
      <c r="S97" s="524"/>
      <c r="T97" s="525"/>
    </row>
    <row r="98" spans="2:20" x14ac:dyDescent="0.25">
      <c r="B98" s="49">
        <v>61</v>
      </c>
      <c r="C98" s="471" t="s">
        <v>498</v>
      </c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125">
        <v>151</v>
      </c>
      <c r="S98" s="132"/>
      <c r="T98" s="48" t="s">
        <v>44</v>
      </c>
    </row>
    <row r="99" spans="2:20" x14ac:dyDescent="0.25">
      <c r="B99" s="49">
        <v>62</v>
      </c>
      <c r="C99" s="471" t="s">
        <v>137</v>
      </c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125">
        <v>153</v>
      </c>
      <c r="S99" s="132"/>
      <c r="T99" s="48" t="s">
        <v>44</v>
      </c>
    </row>
    <row r="100" spans="2:20" ht="15" customHeight="1" x14ac:dyDescent="0.25">
      <c r="B100" s="49"/>
      <c r="C100" s="545" t="s">
        <v>475</v>
      </c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7"/>
      <c r="R100" s="188">
        <v>49</v>
      </c>
      <c r="S100" s="189"/>
      <c r="T100" s="48"/>
    </row>
    <row r="101" spans="2:20" x14ac:dyDescent="0.25">
      <c r="B101" s="49"/>
      <c r="C101" s="545" t="s">
        <v>476</v>
      </c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6"/>
      <c r="Q101" s="547"/>
      <c r="R101" s="188">
        <v>155</v>
      </c>
      <c r="S101" s="189"/>
      <c r="T101" s="48"/>
    </row>
    <row r="102" spans="2:20" x14ac:dyDescent="0.25">
      <c r="B102" s="49">
        <v>63</v>
      </c>
      <c r="C102" s="471" t="s">
        <v>138</v>
      </c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125">
        <v>54</v>
      </c>
      <c r="S102" s="132"/>
      <c r="T102" s="48" t="s">
        <v>44</v>
      </c>
    </row>
    <row r="103" spans="2:20" x14ac:dyDescent="0.25">
      <c r="B103" s="49">
        <v>64</v>
      </c>
      <c r="C103" s="471" t="s">
        <v>139</v>
      </c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125">
        <v>56</v>
      </c>
      <c r="S103" s="132"/>
      <c r="T103" s="48" t="s">
        <v>44</v>
      </c>
    </row>
    <row r="104" spans="2:20" x14ac:dyDescent="0.25">
      <c r="B104" s="49">
        <v>65</v>
      </c>
      <c r="C104" s="471" t="s">
        <v>140</v>
      </c>
      <c r="D104" s="471"/>
      <c r="E104" s="471"/>
      <c r="F104" s="471"/>
      <c r="G104" s="471"/>
      <c r="H104" s="471"/>
      <c r="I104" s="471"/>
      <c r="J104" s="471"/>
      <c r="K104" s="471"/>
      <c r="L104" s="471"/>
      <c r="M104" s="471"/>
      <c r="N104" s="471"/>
      <c r="O104" s="471"/>
      <c r="P104" s="471"/>
      <c r="Q104" s="471"/>
      <c r="R104" s="125">
        <v>588</v>
      </c>
      <c r="S104" s="132"/>
      <c r="T104" s="48" t="s">
        <v>44</v>
      </c>
    </row>
    <row r="105" spans="2:20" x14ac:dyDescent="0.25">
      <c r="B105" s="49">
        <v>66</v>
      </c>
      <c r="C105" s="471" t="s">
        <v>141</v>
      </c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125">
        <v>589</v>
      </c>
      <c r="S105" s="132"/>
      <c r="T105" s="48" t="s">
        <v>44</v>
      </c>
    </row>
    <row r="106" spans="2:20" x14ac:dyDescent="0.25">
      <c r="B106" s="518" t="s">
        <v>142</v>
      </c>
      <c r="C106" s="519"/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47"/>
    </row>
    <row r="107" spans="2:20" ht="30" customHeight="1" x14ac:dyDescent="0.25">
      <c r="B107" s="49"/>
      <c r="C107" s="125"/>
      <c r="D107" s="516" t="s">
        <v>143</v>
      </c>
      <c r="E107" s="516"/>
      <c r="F107" s="516"/>
      <c r="G107" s="516" t="s">
        <v>144</v>
      </c>
      <c r="H107" s="516"/>
      <c r="I107" s="516" t="s">
        <v>145</v>
      </c>
      <c r="J107" s="516"/>
      <c r="K107" s="516"/>
      <c r="L107" s="516"/>
      <c r="M107" s="516" t="s">
        <v>146</v>
      </c>
      <c r="N107" s="516"/>
      <c r="O107" s="516" t="s">
        <v>147</v>
      </c>
      <c r="P107" s="516"/>
      <c r="Q107" s="516"/>
      <c r="R107" s="516" t="s">
        <v>148</v>
      </c>
      <c r="S107" s="516"/>
      <c r="T107" s="517"/>
    </row>
    <row r="108" spans="2:20" ht="30" x14ac:dyDescent="0.25">
      <c r="B108" s="49">
        <v>67</v>
      </c>
      <c r="C108" s="138" t="s">
        <v>149</v>
      </c>
      <c r="D108" s="516">
        <v>750</v>
      </c>
      <c r="E108" s="516"/>
      <c r="F108" s="139"/>
      <c r="G108" s="125">
        <v>30</v>
      </c>
      <c r="H108" s="129">
        <v>0</v>
      </c>
      <c r="I108" s="125">
        <v>563</v>
      </c>
      <c r="J108" s="585"/>
      <c r="K108" s="585"/>
      <c r="L108" s="585"/>
      <c r="M108" s="125">
        <v>115</v>
      </c>
      <c r="N108" s="128"/>
      <c r="O108" s="125">
        <v>68</v>
      </c>
      <c r="P108" s="506"/>
      <c r="Q108" s="506"/>
      <c r="R108" s="125">
        <v>62</v>
      </c>
      <c r="S108" s="134">
        <f>IF(F108="SI",0,ROUND(J108*N108%,0))</f>
        <v>0</v>
      </c>
      <c r="T108" s="48" t="s">
        <v>44</v>
      </c>
    </row>
    <row r="109" spans="2:20" x14ac:dyDescent="0.25">
      <c r="B109" s="49">
        <v>68</v>
      </c>
      <c r="C109" s="471" t="s">
        <v>150</v>
      </c>
      <c r="D109" s="471"/>
      <c r="E109" s="471"/>
      <c r="F109" s="471"/>
      <c r="G109" s="125">
        <v>565</v>
      </c>
      <c r="H109" s="126"/>
      <c r="I109" s="125">
        <v>120</v>
      </c>
      <c r="J109" s="506"/>
      <c r="K109" s="506"/>
      <c r="L109" s="506"/>
      <c r="M109" s="125">
        <v>542</v>
      </c>
      <c r="N109" s="126"/>
      <c r="O109" s="125">
        <v>122</v>
      </c>
      <c r="P109" s="506"/>
      <c r="Q109" s="506"/>
      <c r="R109" s="125">
        <v>123</v>
      </c>
      <c r="S109" s="134"/>
      <c r="T109" s="48" t="s">
        <v>44</v>
      </c>
    </row>
    <row r="110" spans="2:20" x14ac:dyDescent="0.25">
      <c r="B110" s="49">
        <v>69</v>
      </c>
      <c r="C110" s="471" t="s">
        <v>151</v>
      </c>
      <c r="D110" s="471"/>
      <c r="E110" s="471"/>
      <c r="F110" s="471"/>
      <c r="G110" s="125">
        <v>700</v>
      </c>
      <c r="H110" s="126"/>
      <c r="I110" s="125">
        <v>701</v>
      </c>
      <c r="J110" s="506"/>
      <c r="K110" s="506"/>
      <c r="L110" s="506"/>
      <c r="M110" s="125">
        <v>702</v>
      </c>
      <c r="N110" s="126"/>
      <c r="O110" s="125">
        <v>711</v>
      </c>
      <c r="P110" s="506"/>
      <c r="Q110" s="506"/>
      <c r="R110" s="125">
        <v>703</v>
      </c>
      <c r="S110" s="134"/>
      <c r="T110" s="48" t="s">
        <v>44</v>
      </c>
    </row>
    <row r="111" spans="2:20" x14ac:dyDescent="0.25">
      <c r="B111" s="49">
        <v>70</v>
      </c>
      <c r="C111" s="471" t="s">
        <v>152</v>
      </c>
      <c r="D111" s="471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125">
        <v>66</v>
      </c>
      <c r="S111" s="127"/>
      <c r="T111" s="48" t="s">
        <v>44</v>
      </c>
    </row>
    <row r="112" spans="2:20" x14ac:dyDescent="0.25">
      <c r="B112" s="474">
        <v>71</v>
      </c>
      <c r="C112" s="510" t="s">
        <v>153</v>
      </c>
      <c r="D112" s="511"/>
      <c r="E112" s="511"/>
      <c r="F112" s="512"/>
      <c r="G112" s="516" t="s">
        <v>154</v>
      </c>
      <c r="H112" s="516"/>
      <c r="I112" s="516" t="s">
        <v>155</v>
      </c>
      <c r="J112" s="516"/>
      <c r="K112" s="516"/>
      <c r="L112" s="516"/>
      <c r="M112" s="516" t="s">
        <v>156</v>
      </c>
      <c r="N112" s="516"/>
      <c r="O112" s="516"/>
      <c r="P112" s="516"/>
      <c r="Q112" s="516"/>
      <c r="R112" s="516"/>
      <c r="S112" s="516"/>
      <c r="T112" s="517"/>
    </row>
    <row r="113" spans="2:20" x14ac:dyDescent="0.25">
      <c r="B113" s="475"/>
      <c r="C113" s="513"/>
      <c r="D113" s="514"/>
      <c r="E113" s="514"/>
      <c r="F113" s="515"/>
      <c r="G113" s="125">
        <v>721</v>
      </c>
      <c r="H113" s="126"/>
      <c r="I113" s="125">
        <v>722</v>
      </c>
      <c r="J113" s="506"/>
      <c r="K113" s="506"/>
      <c r="L113" s="506"/>
      <c r="M113" s="125">
        <v>724</v>
      </c>
      <c r="N113" s="509"/>
      <c r="O113" s="509"/>
      <c r="P113" s="471" t="s">
        <v>157</v>
      </c>
      <c r="Q113" s="471"/>
      <c r="R113" s="125">
        <v>723</v>
      </c>
      <c r="S113" s="134"/>
      <c r="T113" s="48" t="s">
        <v>51</v>
      </c>
    </row>
    <row r="114" spans="2:20" x14ac:dyDescent="0.25">
      <c r="B114" s="49">
        <v>72</v>
      </c>
      <c r="C114" s="471" t="s">
        <v>158</v>
      </c>
      <c r="D114" s="471"/>
      <c r="E114" s="471"/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P114" s="471"/>
      <c r="Q114" s="471"/>
      <c r="R114" s="125">
        <v>152</v>
      </c>
      <c r="S114" s="127"/>
      <c r="T114" s="48" t="s">
        <v>44</v>
      </c>
    </row>
    <row r="115" spans="2:20" x14ac:dyDescent="0.25">
      <c r="B115" s="49">
        <v>73</v>
      </c>
      <c r="C115" s="471" t="s">
        <v>159</v>
      </c>
      <c r="D115" s="471"/>
      <c r="E115" s="471"/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P115" s="471"/>
      <c r="Q115" s="471"/>
      <c r="R115" s="125">
        <v>70</v>
      </c>
      <c r="S115" s="127"/>
      <c r="T115" s="48" t="s">
        <v>44</v>
      </c>
    </row>
    <row r="116" spans="2:20" ht="15.75" thickBot="1" x14ac:dyDescent="0.3">
      <c r="B116" s="14">
        <v>74</v>
      </c>
      <c r="C116" s="472" t="s">
        <v>160</v>
      </c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15">
        <v>766</v>
      </c>
      <c r="S116" s="21"/>
      <c r="T116" s="17"/>
    </row>
    <row r="117" spans="2:20" ht="15.75" thickBot="1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2:20" ht="15.75" thickBot="1" x14ac:dyDescent="0.3">
      <c r="B118" s="284">
        <v>75</v>
      </c>
      <c r="C118" s="508" t="s">
        <v>161</v>
      </c>
      <c r="D118" s="508"/>
      <c r="E118" s="508"/>
      <c r="F118" s="508"/>
      <c r="G118" s="508"/>
      <c r="H118" s="508"/>
      <c r="I118" s="508"/>
      <c r="J118" s="508"/>
      <c r="K118" s="508"/>
      <c r="L118" s="508"/>
      <c r="M118" s="508"/>
      <c r="N118" s="508"/>
      <c r="O118" s="508"/>
      <c r="P118" s="508"/>
      <c r="Q118" s="508"/>
      <c r="R118" s="285">
        <v>595</v>
      </c>
      <c r="S118" s="286">
        <f>SUM(S80,S95:S105,S108:S111)</f>
        <v>380000</v>
      </c>
      <c r="T118" s="287" t="s">
        <v>65</v>
      </c>
    </row>
    <row r="119" spans="2:20" ht="15.75" thickBot="1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2:20" x14ac:dyDescent="0.25">
      <c r="B120" s="484" t="s">
        <v>162</v>
      </c>
      <c r="C120" s="485"/>
      <c r="D120" s="485"/>
      <c r="E120" s="485"/>
      <c r="F120" s="485"/>
      <c r="G120" s="485"/>
      <c r="H120" s="485"/>
      <c r="I120" s="485"/>
      <c r="J120" s="485"/>
      <c r="K120" s="485"/>
      <c r="L120" s="485"/>
      <c r="M120" s="485"/>
      <c r="N120" s="485"/>
      <c r="O120" s="485"/>
      <c r="P120" s="485"/>
      <c r="Q120" s="485"/>
      <c r="R120" s="485"/>
      <c r="S120" s="485"/>
      <c r="T120" s="46"/>
    </row>
    <row r="121" spans="2:20" x14ac:dyDescent="0.25">
      <c r="B121" s="503"/>
      <c r="C121" s="504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 t="s">
        <v>112</v>
      </c>
      <c r="S121" s="504"/>
      <c r="T121" s="505"/>
    </row>
    <row r="122" spans="2:20" x14ac:dyDescent="0.25">
      <c r="B122" s="49">
        <v>76</v>
      </c>
      <c r="C122" s="520" t="s">
        <v>163</v>
      </c>
      <c r="D122" s="520"/>
      <c r="E122" s="520"/>
      <c r="F122" s="520"/>
      <c r="G122" s="520"/>
      <c r="H122" s="520"/>
      <c r="I122" s="520"/>
      <c r="J122" s="520"/>
      <c r="K122" s="520"/>
      <c r="L122" s="520"/>
      <c r="M122" s="520"/>
      <c r="N122" s="520"/>
      <c r="O122" s="520"/>
      <c r="P122" s="520"/>
      <c r="Q122" s="520"/>
      <c r="R122" s="245">
        <v>529</v>
      </c>
      <c r="S122" s="278">
        <f>SUM('Ej.3 IVA Simp Art.29'!P66)</f>
        <v>600000</v>
      </c>
      <c r="T122" s="279"/>
    </row>
    <row r="123" spans="2:20" x14ac:dyDescent="0.25">
      <c r="B123" s="49">
        <v>77</v>
      </c>
      <c r="C123" s="520" t="s">
        <v>164</v>
      </c>
      <c r="D123" s="520"/>
      <c r="E123" s="520"/>
      <c r="F123" s="520"/>
      <c r="G123" s="520"/>
      <c r="H123" s="520"/>
      <c r="I123" s="520"/>
      <c r="J123" s="520"/>
      <c r="K123" s="520"/>
      <c r="L123" s="520"/>
      <c r="M123" s="520"/>
      <c r="N123" s="520"/>
      <c r="O123" s="520"/>
      <c r="P123" s="520"/>
      <c r="Q123" s="520"/>
      <c r="R123" s="245">
        <v>530</v>
      </c>
      <c r="S123" s="278">
        <f>-SUM('Ej.3 IVA Simp Art.29'!O65)</f>
        <v>43700</v>
      </c>
      <c r="T123" s="279"/>
    </row>
    <row r="124" spans="2:20" ht="15.75" thickBot="1" x14ac:dyDescent="0.3">
      <c r="B124" s="10">
        <v>78</v>
      </c>
      <c r="C124" s="537" t="s">
        <v>165</v>
      </c>
      <c r="D124" s="537"/>
      <c r="E124" s="537"/>
      <c r="F124" s="537"/>
      <c r="G124" s="537"/>
      <c r="H124" s="537"/>
      <c r="I124" s="537"/>
      <c r="J124" s="537"/>
      <c r="K124" s="537"/>
      <c r="L124" s="537"/>
      <c r="M124" s="537"/>
      <c r="N124" s="537"/>
      <c r="O124" s="537"/>
      <c r="P124" s="537"/>
      <c r="Q124" s="537"/>
      <c r="R124" s="280">
        <v>409</v>
      </c>
      <c r="S124" s="281">
        <f>SUM('Ej.3 IVA Simp Art.29'!O66)</f>
        <v>72581.199999999983</v>
      </c>
      <c r="T124" s="282" t="s">
        <v>44</v>
      </c>
    </row>
    <row r="125" spans="2:20" ht="15.75" thickBot="1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2:20" x14ac:dyDescent="0.25">
      <c r="B126" s="484" t="s">
        <v>166</v>
      </c>
      <c r="C126" s="485"/>
      <c r="D126" s="485"/>
      <c r="E126" s="485"/>
      <c r="F126" s="485"/>
      <c r="G126" s="485"/>
      <c r="H126" s="485"/>
      <c r="I126" s="485"/>
      <c r="J126" s="485"/>
      <c r="K126" s="485"/>
      <c r="L126" s="485"/>
      <c r="M126" s="485"/>
      <c r="N126" s="485"/>
      <c r="O126" s="485"/>
      <c r="P126" s="485"/>
      <c r="Q126" s="485"/>
      <c r="R126" s="485"/>
      <c r="S126" s="485"/>
      <c r="T126" s="46"/>
    </row>
    <row r="127" spans="2:20" x14ac:dyDescent="0.25">
      <c r="B127" s="49">
        <v>79</v>
      </c>
      <c r="C127" s="471" t="s">
        <v>167</v>
      </c>
      <c r="D127" s="471"/>
      <c r="E127" s="471"/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P127" s="471"/>
      <c r="Q127" s="471"/>
      <c r="R127" s="125">
        <v>522</v>
      </c>
      <c r="S127" s="127"/>
      <c r="T127" s="48" t="s">
        <v>44</v>
      </c>
    </row>
    <row r="128" spans="2:20" x14ac:dyDescent="0.25">
      <c r="B128" s="49">
        <v>80</v>
      </c>
      <c r="C128" s="471" t="s">
        <v>168</v>
      </c>
      <c r="D128" s="471"/>
      <c r="E128" s="471"/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P128" s="471"/>
      <c r="Q128" s="471"/>
      <c r="R128" s="125">
        <v>526</v>
      </c>
      <c r="S128" s="127"/>
      <c r="T128" s="48" t="s">
        <v>44</v>
      </c>
    </row>
    <row r="129" spans="2:20" x14ac:dyDescent="0.25">
      <c r="B129" s="49">
        <v>81</v>
      </c>
      <c r="C129" s="471" t="s">
        <v>169</v>
      </c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125">
        <v>113</v>
      </c>
      <c r="S129" s="127"/>
      <c r="T129" s="48" t="s">
        <v>44</v>
      </c>
    </row>
    <row r="130" spans="2:20" x14ac:dyDescent="0.25">
      <c r="B130" s="49">
        <v>82</v>
      </c>
      <c r="C130" s="471" t="s">
        <v>170</v>
      </c>
      <c r="D130" s="471"/>
      <c r="E130" s="471"/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P130" s="471"/>
      <c r="Q130" s="471"/>
      <c r="R130" s="125">
        <v>28</v>
      </c>
      <c r="S130" s="127"/>
      <c r="T130" s="48" t="s">
        <v>51</v>
      </c>
    </row>
    <row r="131" spans="2:20" x14ac:dyDescent="0.25">
      <c r="B131" s="49">
        <v>83</v>
      </c>
      <c r="C131" s="471" t="s">
        <v>171</v>
      </c>
      <c r="D131" s="471"/>
      <c r="E131" s="471"/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P131" s="471"/>
      <c r="Q131" s="471"/>
      <c r="R131" s="125">
        <v>548</v>
      </c>
      <c r="S131" s="127"/>
      <c r="T131" s="48" t="s">
        <v>51</v>
      </c>
    </row>
    <row r="132" spans="2:20" x14ac:dyDescent="0.25">
      <c r="B132" s="49">
        <v>84</v>
      </c>
      <c r="C132" s="471" t="s">
        <v>172</v>
      </c>
      <c r="D132" s="471"/>
      <c r="E132" s="471"/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P132" s="471"/>
      <c r="Q132" s="471"/>
      <c r="R132" s="125">
        <v>540</v>
      </c>
      <c r="S132" s="127"/>
      <c r="T132" s="48" t="s">
        <v>51</v>
      </c>
    </row>
    <row r="133" spans="2:20" x14ac:dyDescent="0.25">
      <c r="B133" s="49">
        <v>85</v>
      </c>
      <c r="C133" s="471" t="s">
        <v>173</v>
      </c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P133" s="471"/>
      <c r="Q133" s="471"/>
      <c r="R133" s="125">
        <v>541</v>
      </c>
      <c r="S133" s="127"/>
      <c r="T133" s="48" t="s">
        <v>44</v>
      </c>
    </row>
    <row r="134" spans="2:20" ht="15.75" thickBot="1" x14ac:dyDescent="0.3">
      <c r="B134" s="49">
        <v>86</v>
      </c>
      <c r="C134" s="470" t="s">
        <v>174</v>
      </c>
      <c r="D134" s="470"/>
      <c r="E134" s="470"/>
      <c r="F134" s="470"/>
      <c r="G134" s="470"/>
      <c r="H134" s="470"/>
      <c r="I134" s="52">
        <v>549</v>
      </c>
      <c r="J134" s="507">
        <f>IF(S127+S128+S129+S133-S130-S131-S132&lt;0,-(S127+S128+S129+S133-S130-S131-S132),0)</f>
        <v>0</v>
      </c>
      <c r="K134" s="507"/>
      <c r="L134" s="507"/>
      <c r="M134" s="470" t="s">
        <v>175</v>
      </c>
      <c r="N134" s="470"/>
      <c r="O134" s="470"/>
      <c r="P134" s="470"/>
      <c r="Q134" s="470"/>
      <c r="R134" s="52">
        <v>550</v>
      </c>
      <c r="S134" s="27">
        <f>IF(S127+S128+S129+S133-S130-S131-S132&gt;0,S127+S128+S129+S133-S130-S131-S132,0)</f>
        <v>0</v>
      </c>
      <c r="T134" s="11" t="s">
        <v>44</v>
      </c>
    </row>
    <row r="135" spans="2:20" ht="15.75" thickBot="1" x14ac:dyDescent="0.3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2:20" x14ac:dyDescent="0.25">
      <c r="B136" s="484" t="s">
        <v>176</v>
      </c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  <c r="N136" s="485"/>
      <c r="O136" s="485"/>
      <c r="P136" s="485"/>
      <c r="Q136" s="485"/>
      <c r="R136" s="485"/>
      <c r="S136" s="485"/>
      <c r="T136" s="46"/>
    </row>
    <row r="137" spans="2:20" x14ac:dyDescent="0.25">
      <c r="B137" s="503"/>
      <c r="C137" s="504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 t="s">
        <v>177</v>
      </c>
      <c r="S137" s="504"/>
      <c r="T137" s="505"/>
    </row>
    <row r="138" spans="2:20" x14ac:dyDescent="0.25">
      <c r="B138" s="49">
        <v>87</v>
      </c>
      <c r="C138" s="471" t="s">
        <v>178</v>
      </c>
      <c r="D138" s="471"/>
      <c r="E138" s="471"/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P138" s="471"/>
      <c r="Q138" s="471"/>
      <c r="R138" s="125">
        <v>577</v>
      </c>
      <c r="S138" s="127"/>
      <c r="T138" s="48" t="s">
        <v>44</v>
      </c>
    </row>
    <row r="139" spans="2:20" x14ac:dyDescent="0.25">
      <c r="B139" s="49">
        <v>88</v>
      </c>
      <c r="C139" s="471" t="s">
        <v>179</v>
      </c>
      <c r="D139" s="471"/>
      <c r="E139" s="471"/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P139" s="471"/>
      <c r="Q139" s="471"/>
      <c r="R139" s="125">
        <v>32</v>
      </c>
      <c r="S139" s="127"/>
      <c r="T139" s="48" t="s">
        <v>44</v>
      </c>
    </row>
    <row r="140" spans="2:20" x14ac:dyDescent="0.25">
      <c r="B140" s="49">
        <v>89</v>
      </c>
      <c r="C140" s="471" t="s">
        <v>180</v>
      </c>
      <c r="D140" s="471"/>
      <c r="E140" s="471"/>
      <c r="F140" s="471"/>
      <c r="G140" s="471"/>
      <c r="H140" s="471"/>
      <c r="I140" s="471"/>
      <c r="J140" s="471"/>
      <c r="K140" s="471"/>
      <c r="L140" s="471"/>
      <c r="M140" s="471"/>
      <c r="N140" s="471"/>
      <c r="O140" s="471"/>
      <c r="P140" s="471"/>
      <c r="Q140" s="471"/>
      <c r="R140" s="125">
        <v>150</v>
      </c>
      <c r="S140" s="127"/>
      <c r="T140" s="48" t="s">
        <v>44</v>
      </c>
    </row>
    <row r="141" spans="2:20" x14ac:dyDescent="0.25">
      <c r="B141" s="49">
        <v>90</v>
      </c>
      <c r="C141" s="471" t="s">
        <v>181</v>
      </c>
      <c r="D141" s="471"/>
      <c r="E141" s="471"/>
      <c r="F141" s="471"/>
      <c r="G141" s="471"/>
      <c r="H141" s="471"/>
      <c r="I141" s="471"/>
      <c r="J141" s="471"/>
      <c r="K141" s="471"/>
      <c r="L141" s="471"/>
      <c r="M141" s="471"/>
      <c r="N141" s="471"/>
      <c r="O141" s="471"/>
      <c r="P141" s="471"/>
      <c r="Q141" s="471"/>
      <c r="R141" s="125">
        <v>146</v>
      </c>
      <c r="S141" s="127"/>
      <c r="T141" s="48" t="s">
        <v>44</v>
      </c>
    </row>
    <row r="142" spans="2:20" x14ac:dyDescent="0.25">
      <c r="B142" s="49">
        <v>91</v>
      </c>
      <c r="C142" s="471" t="s">
        <v>182</v>
      </c>
      <c r="D142" s="471"/>
      <c r="E142" s="471"/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P142" s="471"/>
      <c r="Q142" s="471"/>
      <c r="R142" s="125">
        <v>752</v>
      </c>
      <c r="S142" s="127"/>
      <c r="T142" s="48" t="s">
        <v>44</v>
      </c>
    </row>
    <row r="143" spans="2:20" x14ac:dyDescent="0.25">
      <c r="B143" s="49">
        <v>92</v>
      </c>
      <c r="C143" s="471" t="s">
        <v>183</v>
      </c>
      <c r="D143" s="471"/>
      <c r="E143" s="471"/>
      <c r="F143" s="471"/>
      <c r="G143" s="471"/>
      <c r="H143" s="471"/>
      <c r="I143" s="471"/>
      <c r="J143" s="471"/>
      <c r="K143" s="471"/>
      <c r="L143" s="471"/>
      <c r="M143" s="471"/>
      <c r="N143" s="471"/>
      <c r="O143" s="471"/>
      <c r="P143" s="471"/>
      <c r="Q143" s="471"/>
      <c r="R143" s="125">
        <v>545</v>
      </c>
      <c r="S143" s="127"/>
      <c r="T143" s="48" t="s">
        <v>44</v>
      </c>
    </row>
    <row r="144" spans="2:20" x14ac:dyDescent="0.25">
      <c r="B144" s="49">
        <v>93</v>
      </c>
      <c r="C144" s="471" t="s">
        <v>184</v>
      </c>
      <c r="D144" s="471"/>
      <c r="E144" s="471"/>
      <c r="F144" s="471"/>
      <c r="G144" s="471"/>
      <c r="H144" s="471"/>
      <c r="I144" s="471"/>
      <c r="J144" s="471"/>
      <c r="K144" s="471"/>
      <c r="L144" s="471"/>
      <c r="M144" s="471"/>
      <c r="N144" s="471"/>
      <c r="O144" s="471"/>
      <c r="P144" s="471"/>
      <c r="Q144" s="471"/>
      <c r="R144" s="125">
        <v>546</v>
      </c>
      <c r="S144" s="127"/>
      <c r="T144" s="48" t="s">
        <v>51</v>
      </c>
    </row>
    <row r="145" spans="2:20" x14ac:dyDescent="0.25">
      <c r="B145" s="49">
        <v>94</v>
      </c>
      <c r="C145" s="471" t="s">
        <v>52</v>
      </c>
      <c r="D145" s="471"/>
      <c r="E145" s="471"/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P145" s="471"/>
      <c r="Q145" s="471"/>
      <c r="R145" s="125">
        <v>710</v>
      </c>
      <c r="S145" s="127"/>
      <c r="T145" s="48" t="s">
        <v>51</v>
      </c>
    </row>
    <row r="146" spans="2:20" x14ac:dyDescent="0.25">
      <c r="B146" s="49">
        <v>95</v>
      </c>
      <c r="C146" s="471" t="s">
        <v>185</v>
      </c>
      <c r="D146" s="471"/>
      <c r="E146" s="471"/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P146" s="471"/>
      <c r="Q146" s="471"/>
      <c r="R146" s="125">
        <v>602</v>
      </c>
      <c r="S146" s="134">
        <f>+S138+S139+S140+S141+S142+S143-S144-S145</f>
        <v>0</v>
      </c>
      <c r="T146" s="48" t="s">
        <v>65</v>
      </c>
    </row>
    <row r="147" spans="2:20" ht="36.75" customHeight="1" x14ac:dyDescent="0.25">
      <c r="B147" s="503"/>
      <c r="C147" s="504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 t="s">
        <v>186</v>
      </c>
      <c r="N147" s="504"/>
      <c r="O147" s="504"/>
      <c r="P147" s="504"/>
      <c r="Q147" s="504"/>
      <c r="R147" s="504" t="s">
        <v>187</v>
      </c>
      <c r="S147" s="504"/>
      <c r="T147" s="505"/>
    </row>
    <row r="148" spans="2:20" x14ac:dyDescent="0.25">
      <c r="B148" s="49">
        <v>96</v>
      </c>
      <c r="C148" s="471" t="s">
        <v>178</v>
      </c>
      <c r="D148" s="471"/>
      <c r="E148" s="471"/>
      <c r="F148" s="471"/>
      <c r="G148" s="471"/>
      <c r="H148" s="471"/>
      <c r="I148" s="471"/>
      <c r="J148" s="471"/>
      <c r="K148" s="471"/>
      <c r="L148" s="471"/>
      <c r="M148" s="125">
        <v>575</v>
      </c>
      <c r="N148" s="506"/>
      <c r="O148" s="506"/>
      <c r="P148" s="506"/>
      <c r="Q148" s="140" t="s">
        <v>44</v>
      </c>
      <c r="R148" s="125">
        <v>576</v>
      </c>
      <c r="S148" s="127"/>
      <c r="T148" s="48" t="s">
        <v>44</v>
      </c>
    </row>
    <row r="149" spans="2:20" x14ac:dyDescent="0.25">
      <c r="B149" s="49">
        <v>97</v>
      </c>
      <c r="C149" s="471" t="s">
        <v>179</v>
      </c>
      <c r="D149" s="471"/>
      <c r="E149" s="471"/>
      <c r="F149" s="471"/>
      <c r="G149" s="471"/>
      <c r="H149" s="471"/>
      <c r="I149" s="471"/>
      <c r="J149" s="471"/>
      <c r="K149" s="471"/>
      <c r="L149" s="471"/>
      <c r="M149" s="125">
        <v>574</v>
      </c>
      <c r="N149" s="506"/>
      <c r="O149" s="506"/>
      <c r="P149" s="506"/>
      <c r="Q149" s="140" t="s">
        <v>44</v>
      </c>
      <c r="R149" s="125">
        <v>33</v>
      </c>
      <c r="S149" s="127"/>
      <c r="T149" s="48" t="s">
        <v>44</v>
      </c>
    </row>
    <row r="150" spans="2:20" x14ac:dyDescent="0.25">
      <c r="B150" s="49">
        <v>98</v>
      </c>
      <c r="C150" s="471" t="s">
        <v>180</v>
      </c>
      <c r="D150" s="471"/>
      <c r="E150" s="471"/>
      <c r="F150" s="471"/>
      <c r="G150" s="471"/>
      <c r="H150" s="471"/>
      <c r="I150" s="471"/>
      <c r="J150" s="471"/>
      <c r="K150" s="471"/>
      <c r="L150" s="471"/>
      <c r="M150" s="125">
        <v>580</v>
      </c>
      <c r="N150" s="506"/>
      <c r="O150" s="506"/>
      <c r="P150" s="506"/>
      <c r="Q150" s="140" t="s">
        <v>44</v>
      </c>
      <c r="R150" s="125">
        <v>149</v>
      </c>
      <c r="S150" s="127"/>
      <c r="T150" s="48" t="s">
        <v>44</v>
      </c>
    </row>
    <row r="151" spans="2:20" x14ac:dyDescent="0.25">
      <c r="B151" s="49">
        <v>99</v>
      </c>
      <c r="C151" s="471" t="s">
        <v>181</v>
      </c>
      <c r="D151" s="471"/>
      <c r="E151" s="471"/>
      <c r="F151" s="471"/>
      <c r="G151" s="471"/>
      <c r="H151" s="471"/>
      <c r="I151" s="471"/>
      <c r="J151" s="471"/>
      <c r="K151" s="471"/>
      <c r="L151" s="471"/>
      <c r="M151" s="125">
        <v>582</v>
      </c>
      <c r="N151" s="506"/>
      <c r="O151" s="506"/>
      <c r="P151" s="506"/>
      <c r="Q151" s="140" t="s">
        <v>44</v>
      </c>
      <c r="R151" s="125">
        <v>85</v>
      </c>
      <c r="S151" s="127"/>
      <c r="T151" s="48" t="s">
        <v>44</v>
      </c>
    </row>
    <row r="152" spans="2:20" x14ac:dyDescent="0.25">
      <c r="B152" s="49">
        <v>100</v>
      </c>
      <c r="C152" s="471" t="s">
        <v>182</v>
      </c>
      <c r="D152" s="471"/>
      <c r="E152" s="471"/>
      <c r="F152" s="471"/>
      <c r="G152" s="471"/>
      <c r="H152" s="471"/>
      <c r="I152" s="471"/>
      <c r="J152" s="471"/>
      <c r="K152" s="471"/>
      <c r="L152" s="471"/>
      <c r="M152" s="125">
        <v>753</v>
      </c>
      <c r="N152" s="506"/>
      <c r="O152" s="506"/>
      <c r="P152" s="506"/>
      <c r="Q152" s="140" t="s">
        <v>44</v>
      </c>
      <c r="R152" s="125">
        <v>754</v>
      </c>
      <c r="S152" s="127"/>
      <c r="T152" s="48" t="s">
        <v>44</v>
      </c>
    </row>
    <row r="153" spans="2:20" x14ac:dyDescent="0.25">
      <c r="B153" s="49">
        <v>101</v>
      </c>
      <c r="C153" s="471" t="s">
        <v>188</v>
      </c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125">
        <v>551</v>
      </c>
      <c r="S153" s="127"/>
      <c r="T153" s="48" t="s">
        <v>44</v>
      </c>
    </row>
    <row r="154" spans="2:20" x14ac:dyDescent="0.25">
      <c r="B154" s="49">
        <v>102</v>
      </c>
      <c r="C154" s="471" t="s">
        <v>189</v>
      </c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P154" s="471"/>
      <c r="Q154" s="471"/>
      <c r="R154" s="125">
        <v>559</v>
      </c>
      <c r="S154" s="127"/>
      <c r="T154" s="48" t="s">
        <v>51</v>
      </c>
    </row>
    <row r="155" spans="2:20" x14ac:dyDescent="0.25">
      <c r="B155" s="49">
        <v>103</v>
      </c>
      <c r="C155" s="471" t="s">
        <v>190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125">
        <v>508</v>
      </c>
      <c r="S155" s="127"/>
      <c r="T155" s="48" t="s">
        <v>44</v>
      </c>
    </row>
    <row r="156" spans="2:20" x14ac:dyDescent="0.25">
      <c r="B156" s="49">
        <v>104</v>
      </c>
      <c r="C156" s="471" t="s">
        <v>191</v>
      </c>
      <c r="D156" s="471"/>
      <c r="E156" s="471"/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P156" s="471"/>
      <c r="Q156" s="471"/>
      <c r="R156" s="125">
        <v>533</v>
      </c>
      <c r="S156" s="127"/>
      <c r="T156" s="48" t="s">
        <v>51</v>
      </c>
    </row>
    <row r="157" spans="2:20" x14ac:dyDescent="0.25">
      <c r="B157" s="49">
        <v>105</v>
      </c>
      <c r="C157" s="471" t="s">
        <v>192</v>
      </c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P157" s="471"/>
      <c r="Q157" s="471"/>
      <c r="R157" s="125">
        <v>552</v>
      </c>
      <c r="S157" s="127"/>
      <c r="T157" s="48" t="s">
        <v>44</v>
      </c>
    </row>
    <row r="158" spans="2:20" ht="15.75" thickBot="1" x14ac:dyDescent="0.3">
      <c r="B158" s="49">
        <v>106</v>
      </c>
      <c r="C158" s="470" t="s">
        <v>193</v>
      </c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52">
        <v>603</v>
      </c>
      <c r="S158" s="27">
        <f>+S148+S149+S150+S151+S152+S153-S154+S155-S156+S157</f>
        <v>0</v>
      </c>
      <c r="T158" s="11" t="s">
        <v>65</v>
      </c>
    </row>
    <row r="159" spans="2:20" ht="15.75" thickBot="1" x14ac:dyDescent="0.3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2:20" ht="15.75" thickBot="1" x14ac:dyDescent="0.3">
      <c r="B160" s="22">
        <v>107</v>
      </c>
      <c r="C160" s="483" t="s">
        <v>194</v>
      </c>
      <c r="D160" s="483"/>
      <c r="E160" s="483"/>
      <c r="F160" s="483"/>
      <c r="G160" s="483"/>
      <c r="H160" s="483"/>
      <c r="I160" s="23">
        <v>507</v>
      </c>
      <c r="J160" s="502">
        <f>IF(S146-S158&lt;0,S158-S146,0)</f>
        <v>0</v>
      </c>
      <c r="K160" s="502"/>
      <c r="L160" s="502"/>
      <c r="M160" s="502"/>
      <c r="N160" s="483" t="s">
        <v>195</v>
      </c>
      <c r="O160" s="483"/>
      <c r="P160" s="483"/>
      <c r="Q160" s="483"/>
      <c r="R160" s="23">
        <v>506</v>
      </c>
      <c r="S160" s="28">
        <f>IF(S146-S158&gt;0,S146-S158,0)</f>
        <v>0</v>
      </c>
      <c r="T160" s="25" t="s">
        <v>44</v>
      </c>
    </row>
    <row r="161" spans="2:20" ht="15.75" thickBot="1" x14ac:dyDescent="0.3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2:20" x14ac:dyDescent="0.25">
      <c r="B162" s="484" t="s">
        <v>196</v>
      </c>
      <c r="C162" s="485"/>
      <c r="D162" s="485"/>
      <c r="E162" s="485"/>
      <c r="F162" s="485"/>
      <c r="G162" s="485"/>
      <c r="H162" s="485"/>
      <c r="I162" s="485"/>
      <c r="J162" s="485"/>
      <c r="K162" s="485"/>
      <c r="L162" s="485"/>
      <c r="M162" s="485"/>
      <c r="N162" s="485"/>
      <c r="O162" s="485"/>
      <c r="P162" s="485"/>
      <c r="Q162" s="485"/>
      <c r="R162" s="485"/>
      <c r="S162" s="485"/>
      <c r="T162" s="46"/>
    </row>
    <row r="163" spans="2:20" x14ac:dyDescent="0.25">
      <c r="B163" s="503" t="s">
        <v>197</v>
      </c>
      <c r="C163" s="504"/>
      <c r="D163" s="504"/>
      <c r="E163" s="504"/>
      <c r="F163" s="504"/>
      <c r="G163" s="504"/>
      <c r="H163" s="504"/>
      <c r="I163" s="504"/>
      <c r="J163" s="504"/>
      <c r="K163" s="504"/>
      <c r="L163" s="504"/>
      <c r="M163" s="504"/>
      <c r="N163" s="504"/>
      <c r="O163" s="504"/>
      <c r="P163" s="504"/>
      <c r="Q163" s="504"/>
      <c r="R163" s="504"/>
      <c r="S163" s="504"/>
      <c r="T163" s="505"/>
    </row>
    <row r="164" spans="2:20" x14ac:dyDescent="0.25">
      <c r="B164" s="49">
        <v>108</v>
      </c>
      <c r="C164" s="471" t="s">
        <v>198</v>
      </c>
      <c r="D164" s="471"/>
      <c r="E164" s="471"/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P164" s="471"/>
      <c r="Q164" s="471"/>
      <c r="R164" s="125">
        <v>556</v>
      </c>
      <c r="S164" s="127"/>
      <c r="T164" s="48" t="s">
        <v>44</v>
      </c>
    </row>
    <row r="165" spans="2:20" x14ac:dyDescent="0.25">
      <c r="B165" s="49">
        <v>109</v>
      </c>
      <c r="C165" s="471" t="s">
        <v>199</v>
      </c>
      <c r="D165" s="471"/>
      <c r="E165" s="471"/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P165" s="471"/>
      <c r="Q165" s="471"/>
      <c r="R165" s="125">
        <v>557</v>
      </c>
      <c r="S165" s="127"/>
      <c r="T165" s="48" t="s">
        <v>44</v>
      </c>
    </row>
    <row r="166" spans="2:20" x14ac:dyDescent="0.25">
      <c r="B166" s="49">
        <v>110</v>
      </c>
      <c r="C166" s="471" t="s">
        <v>200</v>
      </c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P166" s="471"/>
      <c r="Q166" s="471"/>
      <c r="R166" s="125">
        <v>558</v>
      </c>
      <c r="S166" s="127"/>
      <c r="T166" s="48" t="s">
        <v>51</v>
      </c>
    </row>
    <row r="167" spans="2:20" x14ac:dyDescent="0.25">
      <c r="B167" s="49">
        <v>111</v>
      </c>
      <c r="C167" s="471" t="s">
        <v>201</v>
      </c>
      <c r="D167" s="471"/>
      <c r="E167" s="471"/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P167" s="471"/>
      <c r="Q167" s="471"/>
      <c r="R167" s="125">
        <v>543</v>
      </c>
      <c r="S167" s="134">
        <f>+S164+S165-S166</f>
        <v>0</v>
      </c>
      <c r="T167" s="48" t="s">
        <v>65</v>
      </c>
    </row>
    <row r="168" spans="2:20" ht="15.75" thickBot="1" x14ac:dyDescent="0.3">
      <c r="B168" s="14">
        <v>112</v>
      </c>
      <c r="C168" s="472" t="s">
        <v>202</v>
      </c>
      <c r="D168" s="472"/>
      <c r="E168" s="472"/>
      <c r="F168" s="472"/>
      <c r="G168" s="472"/>
      <c r="H168" s="472"/>
      <c r="I168" s="15">
        <v>573</v>
      </c>
      <c r="J168" s="584">
        <f>IF(S80&lt;S167,S167-S168,0)</f>
        <v>0</v>
      </c>
      <c r="K168" s="584"/>
      <c r="L168" s="584"/>
      <c r="M168" s="584"/>
      <c r="N168" s="472" t="s">
        <v>203</v>
      </c>
      <c r="O168" s="472"/>
      <c r="P168" s="472"/>
      <c r="Q168" s="472"/>
      <c r="R168" s="15">
        <v>598</v>
      </c>
      <c r="S168" s="53">
        <f>IF(S167&gt;S80,S80,S167)</f>
        <v>0</v>
      </c>
      <c r="T168" s="48" t="s">
        <v>51</v>
      </c>
    </row>
    <row r="169" spans="2:20" ht="15.75" thickBot="1" x14ac:dyDescent="0.3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2:20" x14ac:dyDescent="0.25">
      <c r="B170" s="484" t="s">
        <v>204</v>
      </c>
      <c r="C170" s="485"/>
      <c r="D170" s="485"/>
      <c r="E170" s="485"/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P170" s="485"/>
      <c r="Q170" s="485"/>
      <c r="R170" s="485"/>
      <c r="S170" s="485"/>
      <c r="T170" s="498"/>
    </row>
    <row r="171" spans="2:20" x14ac:dyDescent="0.25">
      <c r="B171" s="49">
        <v>113</v>
      </c>
      <c r="C171" s="471" t="s">
        <v>205</v>
      </c>
      <c r="D171" s="471"/>
      <c r="E171" s="471"/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P171" s="471"/>
      <c r="Q171" s="471"/>
      <c r="R171" s="125">
        <v>39</v>
      </c>
      <c r="S171" s="141"/>
      <c r="T171" s="140" t="s">
        <v>44</v>
      </c>
    </row>
    <row r="172" spans="2:20" x14ac:dyDescent="0.25">
      <c r="B172" s="49">
        <v>114</v>
      </c>
      <c r="C172" s="471" t="s">
        <v>206</v>
      </c>
      <c r="D172" s="471"/>
      <c r="E172" s="471"/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P172" s="471"/>
      <c r="Q172" s="471"/>
      <c r="R172" s="125">
        <v>554</v>
      </c>
      <c r="S172" s="141"/>
      <c r="T172" s="140" t="s">
        <v>44</v>
      </c>
    </row>
    <row r="173" spans="2:20" x14ac:dyDescent="0.25">
      <c r="B173" s="49">
        <v>115</v>
      </c>
      <c r="C173" s="471" t="s">
        <v>207</v>
      </c>
      <c r="D173" s="471"/>
      <c r="E173" s="471"/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P173" s="471"/>
      <c r="Q173" s="471"/>
      <c r="R173" s="125">
        <v>736</v>
      </c>
      <c r="S173" s="141"/>
      <c r="T173" s="140" t="s">
        <v>51</v>
      </c>
    </row>
    <row r="174" spans="2:20" x14ac:dyDescent="0.25">
      <c r="B174" s="49">
        <v>116</v>
      </c>
      <c r="C174" s="471" t="s">
        <v>208</v>
      </c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P174" s="471"/>
      <c r="Q174" s="471"/>
      <c r="R174" s="125">
        <v>597</v>
      </c>
      <c r="S174" s="141"/>
      <c r="T174" s="140" t="s">
        <v>44</v>
      </c>
    </row>
    <row r="175" spans="2:20" ht="15.75" thickBot="1" x14ac:dyDescent="0.3">
      <c r="B175" s="10">
        <v>117</v>
      </c>
      <c r="C175" s="470" t="s">
        <v>209</v>
      </c>
      <c r="D175" s="470"/>
      <c r="E175" s="470"/>
      <c r="F175" s="470"/>
      <c r="G175" s="470"/>
      <c r="H175" s="470"/>
      <c r="I175" s="52">
        <v>555</v>
      </c>
      <c r="J175" s="499"/>
      <c r="K175" s="499"/>
      <c r="L175" s="499"/>
      <c r="M175" s="29" t="s">
        <v>44</v>
      </c>
      <c r="N175" s="500" t="s">
        <v>210</v>
      </c>
      <c r="O175" s="500"/>
      <c r="P175" s="500"/>
      <c r="Q175" s="500"/>
      <c r="R175" s="52">
        <v>596</v>
      </c>
      <c r="S175" s="12">
        <f>+S171+S172-S173+S174+J175</f>
        <v>0</v>
      </c>
      <c r="T175" s="11" t="s">
        <v>44</v>
      </c>
    </row>
    <row r="176" spans="2:20" ht="15.75" thickBot="1" x14ac:dyDescent="0.3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2:20" x14ac:dyDescent="0.25">
      <c r="B177" s="484" t="s">
        <v>211</v>
      </c>
      <c r="C177" s="485"/>
      <c r="D177" s="485"/>
      <c r="E177" s="485"/>
      <c r="F177" s="485"/>
      <c r="G177" s="485"/>
      <c r="H177" s="485"/>
      <c r="I177" s="485"/>
      <c r="J177" s="485"/>
      <c r="K177" s="485"/>
      <c r="L177" s="485"/>
      <c r="M177" s="485"/>
      <c r="N177" s="485"/>
      <c r="O177" s="485"/>
      <c r="P177" s="485"/>
      <c r="Q177" s="485"/>
      <c r="R177" s="485"/>
      <c r="S177" s="485"/>
      <c r="T177" s="46"/>
    </row>
    <row r="178" spans="2:20" x14ac:dyDescent="0.25">
      <c r="B178" s="49">
        <v>118</v>
      </c>
      <c r="C178" s="471" t="s">
        <v>212</v>
      </c>
      <c r="D178" s="471"/>
      <c r="E178" s="471"/>
      <c r="F178" s="471"/>
      <c r="G178" s="125">
        <v>725</v>
      </c>
      <c r="H178" s="129"/>
      <c r="I178" s="471" t="s">
        <v>213</v>
      </c>
      <c r="J178" s="471"/>
      <c r="K178" s="471"/>
      <c r="L178" s="125">
        <v>737</v>
      </c>
      <c r="M178" s="495"/>
      <c r="N178" s="496"/>
      <c r="O178" s="497"/>
      <c r="P178" s="471" t="s">
        <v>214</v>
      </c>
      <c r="Q178" s="471"/>
      <c r="R178" s="125">
        <v>727</v>
      </c>
      <c r="S178" s="134">
        <f>+H178+M178</f>
        <v>0</v>
      </c>
      <c r="T178" s="48" t="s">
        <v>51</v>
      </c>
    </row>
    <row r="179" spans="2:20" x14ac:dyDescent="0.25">
      <c r="B179" s="49">
        <v>119</v>
      </c>
      <c r="C179" s="471" t="s">
        <v>215</v>
      </c>
      <c r="D179" s="471"/>
      <c r="E179" s="471"/>
      <c r="F179" s="471"/>
      <c r="G179" s="125">
        <v>704</v>
      </c>
      <c r="H179" s="129"/>
      <c r="I179" s="471" t="s">
        <v>213</v>
      </c>
      <c r="J179" s="471"/>
      <c r="K179" s="471"/>
      <c r="L179" s="125">
        <v>705</v>
      </c>
      <c r="M179" s="495"/>
      <c r="N179" s="496"/>
      <c r="O179" s="497"/>
      <c r="P179" s="471" t="s">
        <v>214</v>
      </c>
      <c r="Q179" s="471"/>
      <c r="R179" s="125">
        <v>706</v>
      </c>
      <c r="S179" s="134">
        <f t="shared" ref="S179:S183" si="0">+H179+M179</f>
        <v>0</v>
      </c>
      <c r="T179" s="48" t="s">
        <v>51</v>
      </c>
    </row>
    <row r="180" spans="2:20" x14ac:dyDescent="0.25">
      <c r="B180" s="49">
        <v>120</v>
      </c>
      <c r="C180" s="471" t="s">
        <v>216</v>
      </c>
      <c r="D180" s="471"/>
      <c r="E180" s="471"/>
      <c r="F180" s="471"/>
      <c r="G180" s="125">
        <v>160</v>
      </c>
      <c r="H180" s="129"/>
      <c r="I180" s="471" t="s">
        <v>213</v>
      </c>
      <c r="J180" s="471"/>
      <c r="K180" s="471"/>
      <c r="L180" s="125">
        <v>161</v>
      </c>
      <c r="M180" s="495"/>
      <c r="N180" s="496"/>
      <c r="O180" s="497"/>
      <c r="P180" s="471" t="s">
        <v>214</v>
      </c>
      <c r="Q180" s="471"/>
      <c r="R180" s="125">
        <v>570</v>
      </c>
      <c r="S180" s="134">
        <f t="shared" si="0"/>
        <v>0</v>
      </c>
      <c r="T180" s="48" t="s">
        <v>51</v>
      </c>
    </row>
    <row r="181" spans="2:20" x14ac:dyDescent="0.25">
      <c r="B181" s="49">
        <v>121</v>
      </c>
      <c r="C181" s="471" t="s">
        <v>217</v>
      </c>
      <c r="D181" s="471"/>
      <c r="E181" s="471"/>
      <c r="F181" s="471"/>
      <c r="G181" s="125">
        <v>126</v>
      </c>
      <c r="H181" s="129"/>
      <c r="I181" s="471" t="s">
        <v>213</v>
      </c>
      <c r="J181" s="471"/>
      <c r="K181" s="471"/>
      <c r="L181" s="125">
        <v>128</v>
      </c>
      <c r="M181" s="495"/>
      <c r="N181" s="496"/>
      <c r="O181" s="497"/>
      <c r="P181" s="471" t="s">
        <v>214</v>
      </c>
      <c r="Q181" s="471"/>
      <c r="R181" s="125">
        <v>571</v>
      </c>
      <c r="S181" s="134">
        <f t="shared" si="0"/>
        <v>0</v>
      </c>
      <c r="T181" s="48" t="s">
        <v>51</v>
      </c>
    </row>
    <row r="182" spans="2:20" x14ac:dyDescent="0.25">
      <c r="B182" s="49">
        <v>122</v>
      </c>
      <c r="C182" s="471" t="s">
        <v>218</v>
      </c>
      <c r="D182" s="471"/>
      <c r="E182" s="471"/>
      <c r="F182" s="471"/>
      <c r="G182" s="125">
        <v>572</v>
      </c>
      <c r="H182" s="129"/>
      <c r="I182" s="471" t="s">
        <v>213</v>
      </c>
      <c r="J182" s="471"/>
      <c r="K182" s="471"/>
      <c r="L182" s="125">
        <v>568</v>
      </c>
      <c r="M182" s="489"/>
      <c r="N182" s="490"/>
      <c r="O182" s="491"/>
      <c r="P182" s="471" t="s">
        <v>214</v>
      </c>
      <c r="Q182" s="471"/>
      <c r="R182" s="125">
        <v>590</v>
      </c>
      <c r="S182" s="134">
        <f t="shared" si="0"/>
        <v>0</v>
      </c>
      <c r="T182" s="48" t="s">
        <v>51</v>
      </c>
    </row>
    <row r="183" spans="2:20" ht="15.75" thickBot="1" x14ac:dyDescent="0.3">
      <c r="B183" s="51">
        <v>123</v>
      </c>
      <c r="C183" s="472" t="s">
        <v>219</v>
      </c>
      <c r="D183" s="472"/>
      <c r="E183" s="472"/>
      <c r="F183" s="472"/>
      <c r="G183" s="15">
        <v>768</v>
      </c>
      <c r="H183" s="30"/>
      <c r="I183" s="472" t="s">
        <v>213</v>
      </c>
      <c r="J183" s="472"/>
      <c r="K183" s="472"/>
      <c r="L183" s="15">
        <v>769</v>
      </c>
      <c r="M183" s="492"/>
      <c r="N183" s="493"/>
      <c r="O183" s="494"/>
      <c r="P183" s="472" t="s">
        <v>214</v>
      </c>
      <c r="Q183" s="472"/>
      <c r="R183" s="15">
        <v>770</v>
      </c>
      <c r="S183" s="134">
        <f t="shared" si="0"/>
        <v>0</v>
      </c>
      <c r="T183" s="17" t="s">
        <v>51</v>
      </c>
    </row>
    <row r="184" spans="2:20" x14ac:dyDescent="0.25">
      <c r="B184" s="3"/>
      <c r="C184" s="31"/>
      <c r="D184" s="31"/>
      <c r="E184" s="31"/>
      <c r="F184" s="31"/>
      <c r="G184" s="3"/>
      <c r="H184" s="32"/>
      <c r="I184" s="31"/>
      <c r="J184" s="31"/>
      <c r="K184" s="31"/>
      <c r="L184" s="3"/>
      <c r="M184" s="32"/>
      <c r="N184" s="32"/>
      <c r="O184" s="32"/>
      <c r="P184" s="31"/>
      <c r="Q184" s="31"/>
      <c r="R184" s="3"/>
      <c r="S184" s="33">
        <f>+S124+S134+S160+S168+S175-S178-S179-S180-S181-S183</f>
        <v>72581.199999999983</v>
      </c>
      <c r="T184" s="3"/>
    </row>
    <row r="185" spans="2:20" ht="15.75" thickBot="1" x14ac:dyDescent="0.3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33">
        <f>+S118+S184</f>
        <v>452581.19999999995</v>
      </c>
      <c r="T185" s="9"/>
    </row>
    <row r="186" spans="2:20" ht="15.75" thickBot="1" x14ac:dyDescent="0.3">
      <c r="B186" s="22">
        <v>124</v>
      </c>
      <c r="C186" s="483" t="s">
        <v>220</v>
      </c>
      <c r="D186" s="483"/>
      <c r="E186" s="483"/>
      <c r="F186" s="483"/>
      <c r="G186" s="483"/>
      <c r="H186" s="483"/>
      <c r="I186" s="483"/>
      <c r="J186" s="483"/>
      <c r="K186" s="483"/>
      <c r="L186" s="483"/>
      <c r="M186" s="483"/>
      <c r="N186" s="483"/>
      <c r="O186" s="483"/>
      <c r="P186" s="483"/>
      <c r="Q186" s="483"/>
      <c r="R186" s="23">
        <v>547</v>
      </c>
      <c r="S186" s="34">
        <f>IF(S184=0,0,IF(S185&gt;0,S185,-(S185)))</f>
        <v>452581.19999999995</v>
      </c>
      <c r="T186" s="25" t="s">
        <v>65</v>
      </c>
    </row>
    <row r="187" spans="2:20" ht="15.75" thickBot="1" x14ac:dyDescent="0.3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2:20" x14ac:dyDescent="0.25">
      <c r="B188" s="484" t="s">
        <v>221</v>
      </c>
      <c r="C188" s="485"/>
      <c r="D188" s="485"/>
      <c r="E188" s="485"/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P188" s="485"/>
      <c r="Q188" s="485"/>
      <c r="R188" s="485"/>
      <c r="S188" s="485"/>
      <c r="T188" s="46"/>
    </row>
    <row r="189" spans="2:20" x14ac:dyDescent="0.25">
      <c r="B189" s="49">
        <v>125</v>
      </c>
      <c r="C189" s="471" t="s">
        <v>222</v>
      </c>
      <c r="D189" s="471"/>
      <c r="E189" s="471"/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P189" s="471"/>
      <c r="Q189" s="471"/>
      <c r="R189" s="125">
        <v>728</v>
      </c>
      <c r="S189" s="127"/>
      <c r="T189" s="48"/>
    </row>
    <row r="190" spans="2:20" x14ac:dyDescent="0.25">
      <c r="B190" s="49">
        <v>126</v>
      </c>
      <c r="C190" s="471" t="s">
        <v>223</v>
      </c>
      <c r="D190" s="471"/>
      <c r="E190" s="471"/>
      <c r="F190" s="471"/>
      <c r="G190" s="471"/>
      <c r="H190" s="471"/>
      <c r="I190" s="471"/>
      <c r="J190" s="471"/>
      <c r="K190" s="471"/>
      <c r="L190" s="471"/>
      <c r="M190" s="471"/>
      <c r="N190" s="471"/>
      <c r="O190" s="471"/>
      <c r="P190" s="471"/>
      <c r="Q190" s="471"/>
      <c r="R190" s="125">
        <v>707</v>
      </c>
      <c r="S190" s="127"/>
      <c r="T190" s="48"/>
    </row>
    <row r="191" spans="2:20" x14ac:dyDescent="0.25">
      <c r="B191" s="49">
        <v>127</v>
      </c>
      <c r="C191" s="471" t="s">
        <v>224</v>
      </c>
      <c r="D191" s="471"/>
      <c r="E191" s="471"/>
      <c r="F191" s="471"/>
      <c r="G191" s="471"/>
      <c r="H191" s="471"/>
      <c r="I191" s="471"/>
      <c r="J191" s="471"/>
      <c r="K191" s="471"/>
      <c r="L191" s="471"/>
      <c r="M191" s="471"/>
      <c r="N191" s="471"/>
      <c r="O191" s="471"/>
      <c r="P191" s="471"/>
      <c r="Q191" s="471"/>
      <c r="R191" s="125">
        <v>73</v>
      </c>
      <c r="S191" s="127"/>
      <c r="T191" s="48"/>
    </row>
    <row r="192" spans="2:20" x14ac:dyDescent="0.25">
      <c r="B192" s="49">
        <v>128</v>
      </c>
      <c r="C192" s="471" t="s">
        <v>225</v>
      </c>
      <c r="D192" s="471"/>
      <c r="E192" s="471"/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P192" s="471"/>
      <c r="Q192" s="471"/>
      <c r="R192" s="125">
        <v>130</v>
      </c>
      <c r="S192" s="127"/>
      <c r="T192" s="48"/>
    </row>
    <row r="193" spans="2:20" x14ac:dyDescent="0.25">
      <c r="B193" s="49">
        <v>129</v>
      </c>
      <c r="C193" s="471" t="s">
        <v>226</v>
      </c>
      <c r="D193" s="471"/>
      <c r="E193" s="471"/>
      <c r="F193" s="471"/>
      <c r="G193" s="471"/>
      <c r="H193" s="471"/>
      <c r="I193" s="471"/>
      <c r="J193" s="471"/>
      <c r="K193" s="471"/>
      <c r="L193" s="471"/>
      <c r="M193" s="471"/>
      <c r="N193" s="471"/>
      <c r="O193" s="471"/>
      <c r="P193" s="471"/>
      <c r="Q193" s="471"/>
      <c r="R193" s="125">
        <v>591</v>
      </c>
      <c r="S193" s="127"/>
      <c r="T193" s="48"/>
    </row>
    <row r="194" spans="2:20" ht="15.75" thickBot="1" x14ac:dyDescent="0.3">
      <c r="B194" s="14">
        <v>130</v>
      </c>
      <c r="C194" s="472" t="s">
        <v>227</v>
      </c>
      <c r="D194" s="472"/>
      <c r="E194" s="472"/>
      <c r="F194" s="472"/>
      <c r="G194" s="472"/>
      <c r="H194" s="472"/>
      <c r="I194" s="472"/>
      <c r="J194" s="472"/>
      <c r="K194" s="472"/>
      <c r="L194" s="472"/>
      <c r="M194" s="472"/>
      <c r="N194" s="472"/>
      <c r="O194" s="472"/>
      <c r="P194" s="472"/>
      <c r="Q194" s="472"/>
      <c r="R194" s="15">
        <v>771</v>
      </c>
      <c r="S194" s="21"/>
      <c r="T194" s="17"/>
    </row>
    <row r="195" spans="2:20" ht="15.75" thickBot="1" x14ac:dyDescent="0.3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2:20" x14ac:dyDescent="0.25">
      <c r="B196" s="18">
        <v>131</v>
      </c>
      <c r="C196" s="473" t="s">
        <v>228</v>
      </c>
      <c r="D196" s="473"/>
      <c r="E196" s="473"/>
      <c r="F196" s="473"/>
      <c r="G196" s="473"/>
      <c r="H196" s="473"/>
      <c r="I196" s="473"/>
      <c r="J196" s="473"/>
      <c r="K196" s="473"/>
      <c r="L196" s="473"/>
      <c r="M196" s="473"/>
      <c r="N196" s="473"/>
      <c r="O196" s="473"/>
      <c r="P196" s="473"/>
      <c r="Q196" s="473"/>
      <c r="R196" s="8">
        <v>91</v>
      </c>
      <c r="S196" s="389">
        <f>IF(S186&lt;0,0,IF(S186=0,S118,S186))</f>
        <v>452581.19999999995</v>
      </c>
      <c r="T196" s="20" t="s">
        <v>65</v>
      </c>
    </row>
    <row r="197" spans="2:20" x14ac:dyDescent="0.25">
      <c r="B197" s="49">
        <v>132</v>
      </c>
      <c r="C197" s="471" t="s">
        <v>229</v>
      </c>
      <c r="D197" s="471"/>
      <c r="E197" s="471"/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125">
        <v>92</v>
      </c>
      <c r="S197" s="134">
        <f>+Multas!D17</f>
        <v>0</v>
      </c>
      <c r="T197" s="48" t="s">
        <v>44</v>
      </c>
    </row>
    <row r="198" spans="2:20" x14ac:dyDescent="0.25">
      <c r="B198" s="49">
        <v>133</v>
      </c>
      <c r="C198" s="471" t="s">
        <v>230</v>
      </c>
      <c r="D198" s="471"/>
      <c r="E198" s="471"/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P198" s="471"/>
      <c r="Q198" s="471"/>
      <c r="R198" s="125">
        <v>93</v>
      </c>
      <c r="S198" s="134"/>
      <c r="T198" s="48" t="s">
        <v>44</v>
      </c>
    </row>
    <row r="199" spans="2:20" x14ac:dyDescent="0.25">
      <c r="B199" s="474"/>
      <c r="C199" s="476" t="s">
        <v>231</v>
      </c>
      <c r="D199" s="478" t="s">
        <v>232</v>
      </c>
      <c r="E199" s="479"/>
      <c r="F199" s="125">
        <v>922</v>
      </c>
      <c r="G199" s="478"/>
      <c r="H199" s="479"/>
      <c r="I199" s="478" t="s">
        <v>233</v>
      </c>
      <c r="J199" s="479"/>
      <c r="K199" s="125">
        <v>915</v>
      </c>
      <c r="L199" s="142"/>
      <c r="M199" s="478" t="s">
        <v>234</v>
      </c>
      <c r="N199" s="479"/>
      <c r="O199" s="125">
        <v>60</v>
      </c>
      <c r="P199" s="478"/>
      <c r="Q199" s="479"/>
      <c r="R199" s="486"/>
      <c r="S199" s="487"/>
      <c r="T199" s="488"/>
    </row>
    <row r="200" spans="2:20" x14ac:dyDescent="0.25">
      <c r="B200" s="475"/>
      <c r="C200" s="477"/>
      <c r="D200" s="480" t="s">
        <v>235</v>
      </c>
      <c r="E200" s="481"/>
      <c r="F200" s="481"/>
      <c r="G200" s="481"/>
      <c r="H200" s="481"/>
      <c r="I200" s="481"/>
      <c r="J200" s="481"/>
      <c r="K200" s="481"/>
      <c r="L200" s="481"/>
      <c r="M200" s="481"/>
      <c r="N200" s="481"/>
      <c r="O200" s="481"/>
      <c r="P200" s="481"/>
      <c r="Q200" s="482"/>
      <c r="R200" s="118">
        <v>795</v>
      </c>
      <c r="S200" s="134"/>
      <c r="T200" s="140" t="s">
        <v>51</v>
      </c>
    </row>
    <row r="201" spans="2:20" ht="15.75" thickBot="1" x14ac:dyDescent="0.3">
      <c r="B201" s="10">
        <v>134</v>
      </c>
      <c r="C201" s="470" t="s">
        <v>236</v>
      </c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52">
        <v>94</v>
      </c>
      <c r="S201" s="16">
        <f>IF(AND(S197=0,S198=0),0,S196+S197+S198-S200)</f>
        <v>0</v>
      </c>
      <c r="T201" s="17" t="s">
        <v>65</v>
      </c>
    </row>
    <row r="202" spans="2:20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x14ac:dyDescent="0.25">
      <c r="B203" s="3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</sheetData>
  <mergeCells count="341">
    <mergeCell ref="C7:H7"/>
    <mergeCell ref="J7:N7"/>
    <mergeCell ref="P7:T7"/>
    <mergeCell ref="B8:H8"/>
    <mergeCell ref="I8:N8"/>
    <mergeCell ref="O8:T8"/>
    <mergeCell ref="C3:E3"/>
    <mergeCell ref="I3:M3"/>
    <mergeCell ref="Q3:S3"/>
    <mergeCell ref="C4:C5"/>
    <mergeCell ref="I4:I5"/>
    <mergeCell ref="J4:M5"/>
    <mergeCell ref="Q4:Q5"/>
    <mergeCell ref="R4:S5"/>
    <mergeCell ref="C14:L14"/>
    <mergeCell ref="N14:Q14"/>
    <mergeCell ref="C15:L15"/>
    <mergeCell ref="N15:Q15"/>
    <mergeCell ref="C16:L16"/>
    <mergeCell ref="N16:Q16"/>
    <mergeCell ref="B10:S10"/>
    <mergeCell ref="B11:S11"/>
    <mergeCell ref="B12:S12"/>
    <mergeCell ref="B13:L13"/>
    <mergeCell ref="M13:Q13"/>
    <mergeCell ref="R13:T13"/>
    <mergeCell ref="R20:S20"/>
    <mergeCell ref="C21:L21"/>
    <mergeCell ref="N21:Q21"/>
    <mergeCell ref="C22:L22"/>
    <mergeCell ref="N22:Q22"/>
    <mergeCell ref="C23:L23"/>
    <mergeCell ref="N23:Q23"/>
    <mergeCell ref="C17:L17"/>
    <mergeCell ref="N17:Q17"/>
    <mergeCell ref="C18:L18"/>
    <mergeCell ref="N18:Q18"/>
    <mergeCell ref="C19:Q19"/>
    <mergeCell ref="B20:L20"/>
    <mergeCell ref="M20:Q20"/>
    <mergeCell ref="C27:L27"/>
    <mergeCell ref="N27:Q27"/>
    <mergeCell ref="C28:L28"/>
    <mergeCell ref="N28:Q28"/>
    <mergeCell ref="C29:L29"/>
    <mergeCell ref="N29:Q29"/>
    <mergeCell ref="C24:L24"/>
    <mergeCell ref="N24:Q24"/>
    <mergeCell ref="C25:L25"/>
    <mergeCell ref="N25:Q25"/>
    <mergeCell ref="C26:L26"/>
    <mergeCell ref="N26:Q26"/>
    <mergeCell ref="C34:Q34"/>
    <mergeCell ref="C35:E35"/>
    <mergeCell ref="K35:M35"/>
    <mergeCell ref="P35:Q35"/>
    <mergeCell ref="C36:Q36"/>
    <mergeCell ref="C37:Q37"/>
    <mergeCell ref="C30:L30"/>
    <mergeCell ref="N30:Q30"/>
    <mergeCell ref="C31:L31"/>
    <mergeCell ref="N31:Q31"/>
    <mergeCell ref="C32:Q32"/>
    <mergeCell ref="C33:Q33"/>
    <mergeCell ref="B43:S43"/>
    <mergeCell ref="B44:L44"/>
    <mergeCell ref="M44:Q44"/>
    <mergeCell ref="R44:T44"/>
    <mergeCell ref="C45:L45"/>
    <mergeCell ref="N45:Q45"/>
    <mergeCell ref="B39:S39"/>
    <mergeCell ref="B40:S40"/>
    <mergeCell ref="B41:L41"/>
    <mergeCell ref="M41:Q41"/>
    <mergeCell ref="R41:T41"/>
    <mergeCell ref="C42:L42"/>
    <mergeCell ref="N42:Q42"/>
    <mergeCell ref="B50:L50"/>
    <mergeCell ref="M50:Q50"/>
    <mergeCell ref="R50:T50"/>
    <mergeCell ref="C51:L51"/>
    <mergeCell ref="N51:Q51"/>
    <mergeCell ref="C52:L52"/>
    <mergeCell ref="N52:Q52"/>
    <mergeCell ref="C46:L46"/>
    <mergeCell ref="N46:Q46"/>
    <mergeCell ref="C47:L47"/>
    <mergeCell ref="N47:Q47"/>
    <mergeCell ref="B48:S48"/>
    <mergeCell ref="B49:S49"/>
    <mergeCell ref="C56:L56"/>
    <mergeCell ref="N56:Q56"/>
    <mergeCell ref="B57:S57"/>
    <mergeCell ref="C58:L58"/>
    <mergeCell ref="N58:Q58"/>
    <mergeCell ref="C59:L59"/>
    <mergeCell ref="N59:Q59"/>
    <mergeCell ref="C53:L53"/>
    <mergeCell ref="N53:Q53"/>
    <mergeCell ref="C54:L54"/>
    <mergeCell ref="N54:Q54"/>
    <mergeCell ref="C55:L55"/>
    <mergeCell ref="N55:Q55"/>
    <mergeCell ref="C66:Q66"/>
    <mergeCell ref="C67:Q67"/>
    <mergeCell ref="B68:S68"/>
    <mergeCell ref="B69:I69"/>
    <mergeCell ref="J69:M69"/>
    <mergeCell ref="N69:Q69"/>
    <mergeCell ref="R69:T69"/>
    <mergeCell ref="C60:Q60"/>
    <mergeCell ref="C61:Q61"/>
    <mergeCell ref="C62:Q62"/>
    <mergeCell ref="C63:Q63"/>
    <mergeCell ref="C64:Q64"/>
    <mergeCell ref="C65:Q65"/>
    <mergeCell ref="S70:S71"/>
    <mergeCell ref="T70:T71"/>
    <mergeCell ref="P71:Q71"/>
    <mergeCell ref="B72:B73"/>
    <mergeCell ref="C72:I73"/>
    <mergeCell ref="J72:J73"/>
    <mergeCell ref="K72:M73"/>
    <mergeCell ref="P72:Q72"/>
    <mergeCell ref="R72:R73"/>
    <mergeCell ref="S72:S73"/>
    <mergeCell ref="B70:B71"/>
    <mergeCell ref="C70:I71"/>
    <mergeCell ref="J70:J71"/>
    <mergeCell ref="K70:M71"/>
    <mergeCell ref="P70:Q70"/>
    <mergeCell ref="R70:R71"/>
    <mergeCell ref="B79:Q79"/>
    <mergeCell ref="R79:T79"/>
    <mergeCell ref="C80:E80"/>
    <mergeCell ref="G80:H80"/>
    <mergeCell ref="J80:K80"/>
    <mergeCell ref="N80:O80"/>
    <mergeCell ref="P80:Q80"/>
    <mergeCell ref="T72:T73"/>
    <mergeCell ref="P73:Q73"/>
    <mergeCell ref="C74:Q74"/>
    <mergeCell ref="C75:Q75"/>
    <mergeCell ref="C76:Q76"/>
    <mergeCell ref="C77:Q77"/>
    <mergeCell ref="B83:Q83"/>
    <mergeCell ref="R83:T83"/>
    <mergeCell ref="C84:E84"/>
    <mergeCell ref="G84:H84"/>
    <mergeCell ref="J84:K84"/>
    <mergeCell ref="N84:O84"/>
    <mergeCell ref="P84:Q84"/>
    <mergeCell ref="B81:Q81"/>
    <mergeCell ref="R81:T81"/>
    <mergeCell ref="C82:E82"/>
    <mergeCell ref="G82:H82"/>
    <mergeCell ref="J82:K82"/>
    <mergeCell ref="N82:O82"/>
    <mergeCell ref="P82:Q82"/>
    <mergeCell ref="C87:E87"/>
    <mergeCell ref="G87:H87"/>
    <mergeCell ref="I87:Q87"/>
    <mergeCell ref="C88:E88"/>
    <mergeCell ref="G88:H88"/>
    <mergeCell ref="I88:Q88"/>
    <mergeCell ref="C85:E85"/>
    <mergeCell ref="G85:H85"/>
    <mergeCell ref="I85:Q85"/>
    <mergeCell ref="C86:E86"/>
    <mergeCell ref="G86:H86"/>
    <mergeCell ref="I86:Q86"/>
    <mergeCell ref="C90:Q90"/>
    <mergeCell ref="C91:Q91"/>
    <mergeCell ref="B93:S93"/>
    <mergeCell ref="B94:S94"/>
    <mergeCell ref="C95:Q95"/>
    <mergeCell ref="B96:B97"/>
    <mergeCell ref="C96:F97"/>
    <mergeCell ref="G96:H97"/>
    <mergeCell ref="I96:I97"/>
    <mergeCell ref="J96:L96"/>
    <mergeCell ref="J97:L97"/>
    <mergeCell ref="N97:O97"/>
    <mergeCell ref="C98:Q98"/>
    <mergeCell ref="C99:Q99"/>
    <mergeCell ref="C100:Q100"/>
    <mergeCell ref="C101:Q101"/>
    <mergeCell ref="M96:M97"/>
    <mergeCell ref="N96:O96"/>
    <mergeCell ref="P96:Q97"/>
    <mergeCell ref="R107:T107"/>
    <mergeCell ref="D108:E108"/>
    <mergeCell ref="J108:L108"/>
    <mergeCell ref="P108:Q108"/>
    <mergeCell ref="R96:R97"/>
    <mergeCell ref="S96:S97"/>
    <mergeCell ref="T96:T97"/>
    <mergeCell ref="C109:F109"/>
    <mergeCell ref="J109:L109"/>
    <mergeCell ref="P109:Q109"/>
    <mergeCell ref="C102:Q102"/>
    <mergeCell ref="C103:Q103"/>
    <mergeCell ref="C104:Q104"/>
    <mergeCell ref="C105:Q105"/>
    <mergeCell ref="B106:S106"/>
    <mergeCell ref="D107:F107"/>
    <mergeCell ref="G107:H107"/>
    <mergeCell ref="I107:L107"/>
    <mergeCell ref="M107:N107"/>
    <mergeCell ref="O107:Q107"/>
    <mergeCell ref="C110:F110"/>
    <mergeCell ref="J110:L110"/>
    <mergeCell ref="P110:Q110"/>
    <mergeCell ref="C111:Q111"/>
    <mergeCell ref="B112:B113"/>
    <mergeCell ref="C112:F113"/>
    <mergeCell ref="G112:H112"/>
    <mergeCell ref="I112:L112"/>
    <mergeCell ref="M112:O112"/>
    <mergeCell ref="P112:T112"/>
    <mergeCell ref="C118:Q118"/>
    <mergeCell ref="B120:S120"/>
    <mergeCell ref="B121:Q121"/>
    <mergeCell ref="R121:T121"/>
    <mergeCell ref="C122:Q122"/>
    <mergeCell ref="C123:Q123"/>
    <mergeCell ref="J113:L113"/>
    <mergeCell ref="N113:O113"/>
    <mergeCell ref="P113:Q113"/>
    <mergeCell ref="C114:Q114"/>
    <mergeCell ref="C115:Q115"/>
    <mergeCell ref="C116:Q116"/>
    <mergeCell ref="C131:Q131"/>
    <mergeCell ref="C132:Q132"/>
    <mergeCell ref="C133:Q133"/>
    <mergeCell ref="C134:H134"/>
    <mergeCell ref="J134:L134"/>
    <mergeCell ref="M134:Q134"/>
    <mergeCell ref="C124:Q124"/>
    <mergeCell ref="B126:S126"/>
    <mergeCell ref="C127:Q127"/>
    <mergeCell ref="C128:Q128"/>
    <mergeCell ref="C129:Q129"/>
    <mergeCell ref="C130:Q130"/>
    <mergeCell ref="C141:Q141"/>
    <mergeCell ref="C142:Q142"/>
    <mergeCell ref="C143:Q143"/>
    <mergeCell ref="C144:Q144"/>
    <mergeCell ref="C145:Q145"/>
    <mergeCell ref="C146:Q146"/>
    <mergeCell ref="B136:S136"/>
    <mergeCell ref="B137:Q137"/>
    <mergeCell ref="R137:T137"/>
    <mergeCell ref="C138:Q138"/>
    <mergeCell ref="C139:Q139"/>
    <mergeCell ref="C140:Q140"/>
    <mergeCell ref="C150:L150"/>
    <mergeCell ref="N150:P150"/>
    <mergeCell ref="C151:L151"/>
    <mergeCell ref="N151:P151"/>
    <mergeCell ref="C152:L152"/>
    <mergeCell ref="N152:P152"/>
    <mergeCell ref="B147:L147"/>
    <mergeCell ref="M147:Q147"/>
    <mergeCell ref="R147:T147"/>
    <mergeCell ref="C148:L148"/>
    <mergeCell ref="N148:P148"/>
    <mergeCell ref="C149:L149"/>
    <mergeCell ref="N149:P149"/>
    <mergeCell ref="C160:H160"/>
    <mergeCell ref="J160:M160"/>
    <mergeCell ref="N160:Q160"/>
    <mergeCell ref="B162:S162"/>
    <mergeCell ref="B163:T163"/>
    <mergeCell ref="C164:Q164"/>
    <mergeCell ref="C153:Q153"/>
    <mergeCell ref="C154:Q154"/>
    <mergeCell ref="C155:Q155"/>
    <mergeCell ref="C156:Q156"/>
    <mergeCell ref="C157:Q157"/>
    <mergeCell ref="C158:Q158"/>
    <mergeCell ref="B170:T170"/>
    <mergeCell ref="C171:Q171"/>
    <mergeCell ref="C172:Q172"/>
    <mergeCell ref="C173:Q173"/>
    <mergeCell ref="C174:Q174"/>
    <mergeCell ref="C175:H175"/>
    <mergeCell ref="J175:L175"/>
    <mergeCell ref="N175:Q175"/>
    <mergeCell ref="C165:Q165"/>
    <mergeCell ref="C166:Q166"/>
    <mergeCell ref="C167:Q167"/>
    <mergeCell ref="C168:H168"/>
    <mergeCell ref="J168:M168"/>
    <mergeCell ref="N168:Q168"/>
    <mergeCell ref="B177:S177"/>
    <mergeCell ref="C178:F178"/>
    <mergeCell ref="I178:K178"/>
    <mergeCell ref="M178:O178"/>
    <mergeCell ref="P178:Q178"/>
    <mergeCell ref="C179:F179"/>
    <mergeCell ref="I179:K179"/>
    <mergeCell ref="M179:O179"/>
    <mergeCell ref="P179:Q179"/>
    <mergeCell ref="C182:F182"/>
    <mergeCell ref="I182:K182"/>
    <mergeCell ref="M182:O182"/>
    <mergeCell ref="P182:Q182"/>
    <mergeCell ref="C183:F183"/>
    <mergeCell ref="I183:K183"/>
    <mergeCell ref="M183:O183"/>
    <mergeCell ref="P183:Q183"/>
    <mergeCell ref="C180:F180"/>
    <mergeCell ref="I180:K180"/>
    <mergeCell ref="M180:O180"/>
    <mergeCell ref="P180:Q180"/>
    <mergeCell ref="C181:F181"/>
    <mergeCell ref="I181:K181"/>
    <mergeCell ref="M181:O181"/>
    <mergeCell ref="P181:Q181"/>
    <mergeCell ref="C186:Q186"/>
    <mergeCell ref="B188:S188"/>
    <mergeCell ref="C189:Q189"/>
    <mergeCell ref="C190:Q190"/>
    <mergeCell ref="C191:Q191"/>
    <mergeCell ref="C192:Q192"/>
    <mergeCell ref="M199:N199"/>
    <mergeCell ref="P199:Q199"/>
    <mergeCell ref="R199:T199"/>
    <mergeCell ref="C201:Q201"/>
    <mergeCell ref="C193:Q193"/>
    <mergeCell ref="C194:Q194"/>
    <mergeCell ref="C196:Q196"/>
    <mergeCell ref="C197:Q197"/>
    <mergeCell ref="C198:Q198"/>
    <mergeCell ref="B199:B200"/>
    <mergeCell ref="C199:C200"/>
    <mergeCell ref="D199:E199"/>
    <mergeCell ref="G199:H199"/>
    <mergeCell ref="I199:J199"/>
    <mergeCell ref="D200:Q200"/>
  </mergeCells>
  <pageMargins left="0.7" right="0.7" top="0.75" bottom="0.75" header="0.3" footer="0.3"/>
  <pageSetup scale="4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F85A-4B86-47CC-87AF-602104FE7FE5}">
  <dimension ref="A7:R91"/>
  <sheetViews>
    <sheetView showGridLines="0" zoomScale="80" zoomScaleNormal="80" workbookViewId="0">
      <selection activeCell="D7" sqref="D7"/>
    </sheetView>
  </sheetViews>
  <sheetFormatPr baseColWidth="10" defaultColWidth="11.28515625" defaultRowHeight="18.75" x14ac:dyDescent="0.3"/>
  <cols>
    <col min="1" max="1" width="13.5703125" style="266" customWidth="1"/>
    <col min="2" max="2" width="50.42578125" style="266" customWidth="1"/>
    <col min="3" max="3" width="19.140625" style="267" bestFit="1" customWidth="1"/>
    <col min="4" max="4" width="13.140625" style="267" bestFit="1" customWidth="1"/>
    <col min="5" max="5" width="14.42578125" style="267" bestFit="1" customWidth="1"/>
    <col min="6" max="6" width="6.140625" style="267" bestFit="1" customWidth="1"/>
    <col min="7" max="7" width="13.140625" style="267" bestFit="1" customWidth="1"/>
    <col min="8" max="8" width="6.5703125" style="268" bestFit="1" customWidth="1"/>
    <col min="9" max="9" width="9.85546875" style="267" bestFit="1" customWidth="1"/>
    <col min="10" max="10" width="11" style="266" customWidth="1"/>
    <col min="11" max="11" width="46.28515625" style="266" customWidth="1"/>
    <col min="12" max="12" width="17.140625" style="266" bestFit="1" customWidth="1"/>
    <col min="13" max="14" width="15.7109375" style="266" bestFit="1" customWidth="1"/>
    <col min="15" max="15" width="6.140625" style="266" bestFit="1" customWidth="1"/>
    <col min="16" max="16" width="14.42578125" style="266" bestFit="1" customWidth="1"/>
    <col min="17" max="17" width="5.7109375" style="266" bestFit="1" customWidth="1"/>
    <col min="18" max="18" width="13.140625" style="266" bestFit="1" customWidth="1"/>
    <col min="19" max="19" width="13.5703125" style="266" customWidth="1"/>
    <col min="20" max="20" width="14.7109375" style="266" customWidth="1"/>
    <col min="21" max="21" width="13.140625" style="266" customWidth="1"/>
    <col min="22" max="22" width="11.28515625" style="266"/>
    <col min="23" max="23" width="15" style="266" customWidth="1"/>
    <col min="24" max="16384" width="11.28515625" style="266"/>
  </cols>
  <sheetData>
    <row r="7" spans="1:12" ht="20.25" x14ac:dyDescent="0.3">
      <c r="A7" s="591" t="s">
        <v>578</v>
      </c>
      <c r="B7" s="591"/>
      <c r="C7" s="591"/>
      <c r="J7" s="591" t="s">
        <v>579</v>
      </c>
      <c r="K7" s="591"/>
      <c r="L7" s="591"/>
    </row>
    <row r="8" spans="1:12" x14ac:dyDescent="0.3">
      <c r="L8" s="267"/>
    </row>
    <row r="9" spans="1:12" x14ac:dyDescent="0.3">
      <c r="L9" s="267"/>
    </row>
    <row r="10" spans="1:12" x14ac:dyDescent="0.3">
      <c r="A10" s="288" t="s">
        <v>562</v>
      </c>
      <c r="B10" s="289"/>
      <c r="C10" s="290"/>
      <c r="J10" s="288" t="s">
        <v>562</v>
      </c>
      <c r="K10" s="289"/>
      <c r="L10" s="290"/>
    </row>
    <row r="11" spans="1:12" x14ac:dyDescent="0.3">
      <c r="A11" s="291"/>
      <c r="B11" s="291"/>
      <c r="C11" s="292"/>
      <c r="J11" s="291"/>
      <c r="K11" s="291"/>
      <c r="L11" s="292"/>
    </row>
    <row r="12" spans="1:12" x14ac:dyDescent="0.3">
      <c r="A12" s="291" t="s">
        <v>563</v>
      </c>
      <c r="B12" s="291" t="s">
        <v>564</v>
      </c>
      <c r="C12" s="292">
        <v>80000000</v>
      </c>
      <c r="J12" s="291" t="s">
        <v>563</v>
      </c>
      <c r="K12" s="291" t="s">
        <v>564</v>
      </c>
      <c r="L12" s="292">
        <v>120000000</v>
      </c>
    </row>
    <row r="13" spans="1:12" x14ac:dyDescent="0.3">
      <c r="A13" s="291" t="s">
        <v>565</v>
      </c>
      <c r="B13" s="291" t="s">
        <v>566</v>
      </c>
      <c r="C13" s="292">
        <v>70000</v>
      </c>
      <c r="J13" s="291" t="s">
        <v>565</v>
      </c>
      <c r="K13" s="291" t="s">
        <v>978</v>
      </c>
      <c r="L13" s="292">
        <v>4000000</v>
      </c>
    </row>
    <row r="14" spans="1:12" ht="19.5" thickBot="1" x14ac:dyDescent="0.35">
      <c r="A14" s="293"/>
      <c r="B14" s="293"/>
      <c r="C14" s="294"/>
      <c r="J14" s="293"/>
      <c r="K14" s="293"/>
      <c r="L14" s="294"/>
    </row>
    <row r="15" spans="1:12" ht="19.5" thickTop="1" x14ac:dyDescent="0.3">
      <c r="A15" s="291"/>
      <c r="B15" s="291"/>
      <c r="C15" s="295"/>
      <c r="E15" s="269"/>
      <c r="J15" s="291"/>
      <c r="K15" s="291"/>
      <c r="L15" s="295"/>
    </row>
    <row r="16" spans="1:12" ht="19.5" thickBot="1" x14ac:dyDescent="0.35">
      <c r="A16" s="291" t="s">
        <v>567</v>
      </c>
      <c r="B16" s="291"/>
      <c r="C16" s="295">
        <f>C13</f>
        <v>70000</v>
      </c>
      <c r="D16" s="399">
        <f>+C16/1.19</f>
        <v>58823.529411764706</v>
      </c>
      <c r="J16" s="291" t="s">
        <v>567</v>
      </c>
      <c r="K16" s="291"/>
      <c r="L16" s="295">
        <f>L13</f>
        <v>4000000</v>
      </c>
    </row>
    <row r="17" spans="1:18" x14ac:dyDescent="0.3">
      <c r="A17" s="296" t="s">
        <v>568</v>
      </c>
      <c r="B17" s="291"/>
      <c r="C17" s="295"/>
      <c r="D17" s="268">
        <f>+D16*19%</f>
        <v>11176.470588235294</v>
      </c>
      <c r="E17" s="390" t="s">
        <v>574</v>
      </c>
      <c r="F17" s="391"/>
      <c r="G17" s="391"/>
      <c r="H17" s="392"/>
      <c r="I17" s="393"/>
      <c r="J17" s="296" t="s">
        <v>568</v>
      </c>
      <c r="K17" s="291"/>
      <c r="L17" s="295"/>
      <c r="N17" s="267" t="s">
        <v>580</v>
      </c>
    </row>
    <row r="18" spans="1:18" ht="19.5" thickBot="1" x14ac:dyDescent="0.35">
      <c r="A18" s="291"/>
      <c r="B18" s="291" t="s">
        <v>573</v>
      </c>
      <c r="C18" s="295">
        <f>+I18</f>
        <v>24109.589041095889</v>
      </c>
      <c r="E18" s="394">
        <f>+C12</f>
        <v>80000000</v>
      </c>
      <c r="F18" s="395">
        <v>0.11</v>
      </c>
      <c r="G18" s="396">
        <f>+E18*F18</f>
        <v>8800000</v>
      </c>
      <c r="H18" s="396">
        <v>365</v>
      </c>
      <c r="I18" s="397">
        <f>+G18/H18</f>
        <v>24109.589041095889</v>
      </c>
      <c r="J18" s="291"/>
      <c r="K18" s="291" t="s">
        <v>573</v>
      </c>
      <c r="L18" s="295">
        <f>+R18</f>
        <v>1100000</v>
      </c>
      <c r="N18" s="297">
        <f>+L12</f>
        <v>120000000</v>
      </c>
      <c r="O18" s="298">
        <v>0.11</v>
      </c>
      <c r="P18" s="268">
        <f>+N18*O18</f>
        <v>13200000</v>
      </c>
      <c r="Q18" s="268">
        <v>12</v>
      </c>
      <c r="R18" s="268">
        <f>+P18/Q18</f>
        <v>1100000</v>
      </c>
    </row>
    <row r="19" spans="1:18" x14ac:dyDescent="0.3">
      <c r="A19" s="291"/>
      <c r="B19" s="291"/>
      <c r="C19" s="295"/>
      <c r="J19" s="291"/>
      <c r="K19" s="291"/>
      <c r="L19" s="295"/>
    </row>
    <row r="20" spans="1:18" x14ac:dyDescent="0.3">
      <c r="A20" s="291"/>
      <c r="B20" s="385" t="s">
        <v>569</v>
      </c>
      <c r="C20" s="386">
        <f>C16-C18</f>
        <v>45890.410958904111</v>
      </c>
      <c r="J20" s="291"/>
      <c r="K20" s="291" t="s">
        <v>569</v>
      </c>
      <c r="L20" s="386">
        <f>L16-L18</f>
        <v>2900000</v>
      </c>
    </row>
    <row r="21" spans="1:18" x14ac:dyDescent="0.3">
      <c r="A21" s="291"/>
      <c r="B21" s="291"/>
      <c r="C21" s="295"/>
      <c r="J21" s="291"/>
      <c r="K21" s="291"/>
      <c r="L21" s="295"/>
    </row>
    <row r="22" spans="1:18" x14ac:dyDescent="0.3">
      <c r="A22" s="291"/>
      <c r="B22" s="291" t="s">
        <v>629</v>
      </c>
      <c r="C22" s="295">
        <f>C20/1.19</f>
        <v>38563.370553700937</v>
      </c>
      <c r="E22" s="398" t="s">
        <v>575</v>
      </c>
      <c r="F22" s="398"/>
      <c r="J22" s="291"/>
      <c r="K22" s="291" t="s">
        <v>629</v>
      </c>
      <c r="L22" s="295">
        <f>L20/1.19</f>
        <v>2436974.7899159663</v>
      </c>
    </row>
    <row r="23" spans="1:18" x14ac:dyDescent="0.3">
      <c r="A23" s="291"/>
      <c r="B23" s="299" t="s">
        <v>576</v>
      </c>
      <c r="C23" s="300">
        <f>C22*0.19</f>
        <v>7327.0404052031781</v>
      </c>
      <c r="E23" s="267" t="s">
        <v>577</v>
      </c>
      <c r="J23" s="291"/>
      <c r="K23" s="299" t="s">
        <v>576</v>
      </c>
      <c r="L23" s="300">
        <f>L22*0.19</f>
        <v>463025.21008403361</v>
      </c>
    </row>
    <row r="24" spans="1:18" x14ac:dyDescent="0.3">
      <c r="A24" s="291"/>
      <c r="B24" s="291"/>
      <c r="C24" s="295"/>
      <c r="J24" s="291"/>
      <c r="K24" s="291"/>
      <c r="L24" s="295"/>
    </row>
    <row r="25" spans="1:18" x14ac:dyDescent="0.3">
      <c r="A25" s="291"/>
      <c r="B25" s="301" t="s">
        <v>570</v>
      </c>
      <c r="C25" s="295"/>
      <c r="J25" s="291"/>
      <c r="K25" s="301" t="s">
        <v>570</v>
      </c>
      <c r="L25" s="295"/>
    </row>
    <row r="26" spans="1:18" x14ac:dyDescent="0.3">
      <c r="A26" s="291"/>
      <c r="B26" s="291" t="s">
        <v>571</v>
      </c>
      <c r="C26" s="295">
        <f>C18</f>
        <v>24109.589041095889</v>
      </c>
      <c r="J26" s="291"/>
      <c r="K26" s="291" t="s">
        <v>571</v>
      </c>
      <c r="L26" s="295">
        <f>L18</f>
        <v>1100000</v>
      </c>
    </row>
    <row r="27" spans="1:18" x14ac:dyDescent="0.3">
      <c r="A27" s="291"/>
      <c r="B27" s="291" t="s">
        <v>572</v>
      </c>
      <c r="C27" s="295">
        <f>C22</f>
        <v>38563.370553700937</v>
      </c>
      <c r="J27" s="291"/>
      <c r="K27" s="291" t="s">
        <v>572</v>
      </c>
      <c r="L27" s="295">
        <f>L22</f>
        <v>2436974.7899159663</v>
      </c>
    </row>
    <row r="28" spans="1:18" x14ac:dyDescent="0.3">
      <c r="A28" s="291"/>
      <c r="B28" s="291" t="s">
        <v>486</v>
      </c>
      <c r="C28" s="295">
        <f>C23</f>
        <v>7327.0404052031781</v>
      </c>
      <c r="D28" s="400">
        <f>+C28-D17</f>
        <v>-3849.4301830321156</v>
      </c>
      <c r="J28" s="291"/>
      <c r="K28" s="291" t="s">
        <v>486</v>
      </c>
      <c r="L28" s="295">
        <f>L23</f>
        <v>463025.21008403361</v>
      </c>
    </row>
    <row r="29" spans="1:18" ht="19.5" thickBot="1" x14ac:dyDescent="0.35">
      <c r="A29" s="302"/>
      <c r="B29" s="303" t="s">
        <v>17</v>
      </c>
      <c r="C29" s="304">
        <f>SUM(C26:C28)</f>
        <v>70000</v>
      </c>
      <c r="J29" s="302"/>
      <c r="K29" s="303" t="s">
        <v>17</v>
      </c>
      <c r="L29" s="304">
        <f>SUM(L26:L28)</f>
        <v>4000000</v>
      </c>
    </row>
    <row r="30" spans="1:18" ht="19.5" thickTop="1" x14ac:dyDescent="0.3"/>
    <row r="34" spans="1:13" s="311" customFormat="1" ht="20.25" x14ac:dyDescent="0.3">
      <c r="A34" s="591" t="s">
        <v>582</v>
      </c>
      <c r="B34" s="591"/>
      <c r="C34" s="591"/>
      <c r="D34" s="309"/>
      <c r="E34" s="309"/>
      <c r="F34" s="309"/>
      <c r="G34" s="309"/>
      <c r="H34" s="310"/>
      <c r="I34" s="309"/>
      <c r="J34" s="591" t="s">
        <v>595</v>
      </c>
      <c r="K34" s="591"/>
      <c r="L34" s="591"/>
    </row>
    <row r="35" spans="1:13" x14ac:dyDescent="0.3">
      <c r="L35" s="267"/>
    </row>
    <row r="36" spans="1:13" x14ac:dyDescent="0.3">
      <c r="L36" s="267"/>
    </row>
    <row r="37" spans="1:13" x14ac:dyDescent="0.3">
      <c r="A37" s="288" t="s">
        <v>581</v>
      </c>
      <c r="B37" s="289"/>
      <c r="C37" s="290"/>
      <c r="J37" s="288" t="s">
        <v>594</v>
      </c>
      <c r="K37" s="289"/>
      <c r="L37" s="428" t="s">
        <v>995</v>
      </c>
      <c r="M37" s="428" t="s">
        <v>234</v>
      </c>
    </row>
    <row r="38" spans="1:13" x14ac:dyDescent="0.3">
      <c r="A38" s="291"/>
      <c r="B38" s="291"/>
      <c r="C38" s="292"/>
      <c r="J38" s="291"/>
      <c r="K38" s="291"/>
      <c r="L38" s="292"/>
    </row>
    <row r="39" spans="1:13" x14ac:dyDescent="0.3">
      <c r="A39" s="291" t="s">
        <v>563</v>
      </c>
      <c r="B39" s="291" t="s">
        <v>583</v>
      </c>
      <c r="C39" s="292">
        <v>140000000</v>
      </c>
      <c r="J39" s="291" t="s">
        <v>563</v>
      </c>
      <c r="K39" s="291" t="s">
        <v>596</v>
      </c>
      <c r="L39" s="292">
        <v>210000000</v>
      </c>
    </row>
    <row r="40" spans="1:13" x14ac:dyDescent="0.3">
      <c r="A40" s="291" t="s">
        <v>565</v>
      </c>
      <c r="B40" s="291" t="s">
        <v>584</v>
      </c>
      <c r="C40" s="292">
        <v>40000000</v>
      </c>
      <c r="J40" s="291" t="s">
        <v>563</v>
      </c>
      <c r="K40" s="291" t="s">
        <v>980</v>
      </c>
      <c r="L40" s="276">
        <v>-17871391</v>
      </c>
      <c r="M40" s="427">
        <f>-L40/L39</f>
        <v>8.5101861904761905E-2</v>
      </c>
    </row>
    <row r="41" spans="1:13" x14ac:dyDescent="0.3">
      <c r="A41" s="291" t="s">
        <v>585</v>
      </c>
      <c r="B41" s="291" t="s">
        <v>586</v>
      </c>
      <c r="C41" s="305">
        <f>C40/C39</f>
        <v>0.2857142857142857</v>
      </c>
      <c r="J41" s="424"/>
      <c r="K41" s="274" t="s">
        <v>617</v>
      </c>
      <c r="L41" s="425">
        <f>SUM(L39:L40)</f>
        <v>192128609</v>
      </c>
    </row>
    <row r="42" spans="1:13" x14ac:dyDescent="0.3">
      <c r="A42" s="291" t="s">
        <v>587</v>
      </c>
      <c r="B42" s="291" t="s">
        <v>588</v>
      </c>
      <c r="C42" s="292">
        <v>10000000</v>
      </c>
    </row>
    <row r="43" spans="1:13" x14ac:dyDescent="0.3">
      <c r="A43" s="291" t="s">
        <v>589</v>
      </c>
      <c r="B43" s="291" t="s">
        <v>590</v>
      </c>
      <c r="C43" s="292">
        <v>1800000</v>
      </c>
      <c r="J43" s="291"/>
      <c r="K43" s="266" t="s">
        <v>994</v>
      </c>
      <c r="L43" s="292">
        <v>100000000</v>
      </c>
    </row>
    <row r="44" spans="1:13" ht="19.5" thickBot="1" x14ac:dyDescent="0.35">
      <c r="A44" s="293"/>
      <c r="B44" s="293"/>
      <c r="C44" s="294"/>
      <c r="J44" s="291"/>
      <c r="K44" s="291" t="s">
        <v>980</v>
      </c>
      <c r="L44" s="276">
        <f>-L43*M40</f>
        <v>-8510186.1904761903</v>
      </c>
      <c r="M44" s="427">
        <f>-L44/L43</f>
        <v>8.5101861904761905E-2</v>
      </c>
    </row>
    <row r="45" spans="1:13" ht="19.5" thickTop="1" x14ac:dyDescent="0.3">
      <c r="A45" s="291"/>
      <c r="B45" s="291"/>
      <c r="C45" s="295"/>
      <c r="J45" s="424"/>
      <c r="K45" s="274" t="s">
        <v>623</v>
      </c>
      <c r="L45" s="425">
        <f>SUM(L43:L44)</f>
        <v>91489813.809523806</v>
      </c>
    </row>
    <row r="46" spans="1:13" ht="19.5" thickBot="1" x14ac:dyDescent="0.35">
      <c r="A46" s="291"/>
      <c r="B46" s="301" t="s">
        <v>591</v>
      </c>
      <c r="C46" s="301"/>
      <c r="D46" s="295"/>
      <c r="J46" s="293"/>
      <c r="K46" s="293"/>
      <c r="L46" s="294"/>
    </row>
    <row r="47" spans="1:13" ht="19.5" thickTop="1" x14ac:dyDescent="0.3">
      <c r="A47" s="296"/>
      <c r="B47" s="351" t="str">
        <f>+B42</f>
        <v>Valor de la cuota</v>
      </c>
      <c r="C47" s="276">
        <f>+C42</f>
        <v>10000000</v>
      </c>
      <c r="D47" s="295"/>
      <c r="J47" s="299" t="str">
        <f>+K39</f>
        <v xml:space="preserve">El Valor de venta es </v>
      </c>
      <c r="K47" s="299"/>
      <c r="L47" s="429">
        <f>+L41</f>
        <v>192128609</v>
      </c>
    </row>
    <row r="48" spans="1:13" x14ac:dyDescent="0.3">
      <c r="A48" s="291"/>
      <c r="B48" s="296" t="s">
        <v>568</v>
      </c>
      <c r="C48" s="276"/>
      <c r="D48" s="295"/>
      <c r="J48" s="296" t="s">
        <v>568</v>
      </c>
      <c r="K48" s="291" t="s">
        <v>623</v>
      </c>
      <c r="L48" s="276">
        <f>-L45</f>
        <v>-91489813.809523806</v>
      </c>
    </row>
    <row r="49" spans="1:13" x14ac:dyDescent="0.3">
      <c r="A49" s="306">
        <f>+C41</f>
        <v>0.2857142857142857</v>
      </c>
      <c r="B49" s="291" t="str">
        <f>+B41</f>
        <v>Porcentaje que representa valor del terreno</v>
      </c>
      <c r="C49" s="276">
        <f>-A49*C47</f>
        <v>-2857142.8571428568</v>
      </c>
      <c r="D49" s="295"/>
      <c r="J49" s="291"/>
      <c r="K49" s="424" t="str">
        <f>+K39</f>
        <v xml:space="preserve">El Valor de venta es </v>
      </c>
      <c r="L49" s="425">
        <f>+L47+L48</f>
        <v>100638795.19047619</v>
      </c>
    </row>
    <row r="50" spans="1:13" x14ac:dyDescent="0.3">
      <c r="A50" s="291"/>
      <c r="B50" s="291" t="str">
        <f>+B43</f>
        <v>Interes incluido en cada cuota</v>
      </c>
      <c r="C50" s="276">
        <f>-C43</f>
        <v>-1800000</v>
      </c>
      <c r="D50" s="295"/>
      <c r="J50" s="291"/>
    </row>
    <row r="51" spans="1:13" x14ac:dyDescent="0.3">
      <c r="A51" s="291"/>
      <c r="B51" s="291"/>
      <c r="C51" s="291"/>
      <c r="D51" s="295"/>
      <c r="J51" s="291"/>
      <c r="K51" s="291"/>
      <c r="L51" s="276"/>
    </row>
    <row r="52" spans="1:13" ht="19.5" thickBot="1" x14ac:dyDescent="0.35">
      <c r="A52" s="291"/>
      <c r="B52" s="307" t="s">
        <v>592</v>
      </c>
      <c r="C52" s="401">
        <f>SUM(C47:C51)</f>
        <v>5342857.1428571437</v>
      </c>
      <c r="J52" s="291"/>
      <c r="K52" s="291" t="s">
        <v>625</v>
      </c>
      <c r="L52" s="295">
        <f>+L49</f>
        <v>100638795.19047619</v>
      </c>
    </row>
    <row r="53" spans="1:13" ht="19.5" thickTop="1" x14ac:dyDescent="0.3">
      <c r="A53" s="308">
        <v>0.19</v>
      </c>
      <c r="B53" s="299" t="s">
        <v>486</v>
      </c>
      <c r="C53" s="300">
        <f>+C52*A53</f>
        <v>1015142.8571428573</v>
      </c>
      <c r="D53" s="300">
        <f>D52*C53</f>
        <v>0</v>
      </c>
      <c r="J53" s="291"/>
      <c r="K53" s="299" t="s">
        <v>597</v>
      </c>
      <c r="L53" s="300">
        <f>L52*0.19</f>
        <v>19121371.086190477</v>
      </c>
    </row>
    <row r="54" spans="1:13" x14ac:dyDescent="0.3">
      <c r="A54" s="291"/>
      <c r="B54" s="291"/>
      <c r="C54" s="295"/>
      <c r="J54" s="291"/>
      <c r="K54" s="291"/>
      <c r="L54" s="295"/>
    </row>
    <row r="55" spans="1:13" x14ac:dyDescent="0.3">
      <c r="A55" s="291"/>
      <c r="B55" s="296" t="s">
        <v>593</v>
      </c>
      <c r="C55" s="295"/>
      <c r="J55" s="291"/>
      <c r="K55" s="301" t="s">
        <v>570</v>
      </c>
      <c r="L55" s="295"/>
    </row>
    <row r="56" spans="1:13" x14ac:dyDescent="0.3">
      <c r="A56" s="291"/>
      <c r="B56" s="291" t="str">
        <f>B40</f>
        <v>Valor del terreno</v>
      </c>
      <c r="C56" s="295">
        <f>-C49</f>
        <v>2857142.8571428568</v>
      </c>
      <c r="J56" s="291"/>
      <c r="K56" s="291" t="s">
        <v>571</v>
      </c>
      <c r="L56" s="295">
        <f>+L45-L40</f>
        <v>109361204.80952381</v>
      </c>
    </row>
    <row r="57" spans="1:13" x14ac:dyDescent="0.3">
      <c r="A57" s="291"/>
      <c r="B57" s="291" t="str">
        <f>B43</f>
        <v>Interes incluido en cada cuota</v>
      </c>
      <c r="C57" s="295">
        <f>-C50</f>
        <v>1800000</v>
      </c>
      <c r="J57" s="291"/>
      <c r="K57" s="291" t="s">
        <v>572</v>
      </c>
      <c r="L57" s="295">
        <f>L52</f>
        <v>100638795.19047619</v>
      </c>
      <c r="M57" s="426">
        <f>+L56+L57</f>
        <v>210000000</v>
      </c>
    </row>
    <row r="58" spans="1:13" x14ac:dyDescent="0.3">
      <c r="A58" s="291"/>
      <c r="B58" s="291"/>
      <c r="C58" s="295"/>
      <c r="J58" s="291"/>
      <c r="K58" s="291" t="s">
        <v>486</v>
      </c>
      <c r="L58" s="295">
        <f>L53</f>
        <v>19121371.086190477</v>
      </c>
    </row>
    <row r="59" spans="1:13" ht="19.5" thickBot="1" x14ac:dyDescent="0.35">
      <c r="A59" s="302"/>
      <c r="B59" s="303" t="s">
        <v>17</v>
      </c>
      <c r="C59" s="304">
        <f>SUM(C52:C58)</f>
        <v>11015142.857142858</v>
      </c>
      <c r="J59" s="302"/>
      <c r="K59" s="303" t="s">
        <v>17</v>
      </c>
      <c r="L59" s="304">
        <f>SUM(L56:L58)</f>
        <v>229121371.08619046</v>
      </c>
    </row>
    <row r="60" spans="1:13" ht="19.5" thickTop="1" x14ac:dyDescent="0.3"/>
    <row r="64" spans="1:13" ht="20.25" x14ac:dyDescent="0.3">
      <c r="A64" s="591" t="s">
        <v>630</v>
      </c>
      <c r="B64" s="591"/>
      <c r="C64" s="591"/>
      <c r="J64" s="591" t="s">
        <v>630</v>
      </c>
      <c r="K64" s="591"/>
      <c r="L64" s="591"/>
    </row>
    <row r="66" spans="1:13" x14ac:dyDescent="0.3">
      <c r="A66" s="271" t="s">
        <v>598</v>
      </c>
      <c r="B66" s="271" t="s">
        <v>599</v>
      </c>
      <c r="D66" s="423" t="s">
        <v>602</v>
      </c>
      <c r="E66" s="423"/>
      <c r="J66" s="288" t="s">
        <v>594</v>
      </c>
      <c r="K66" s="289"/>
      <c r="L66" s="290"/>
    </row>
    <row r="67" spans="1:13" x14ac:dyDescent="0.3">
      <c r="D67" s="423" t="s">
        <v>603</v>
      </c>
      <c r="E67" s="423"/>
      <c r="J67" s="266" t="s">
        <v>618</v>
      </c>
      <c r="K67" s="266" t="s">
        <v>615</v>
      </c>
      <c r="L67" s="276">
        <f>+C83</f>
        <v>195000000</v>
      </c>
      <c r="M67" s="267"/>
    </row>
    <row r="68" spans="1:13" x14ac:dyDescent="0.3">
      <c r="B68" s="271" t="s">
        <v>600</v>
      </c>
      <c r="K68" s="266" t="s">
        <v>616</v>
      </c>
      <c r="L68" s="276">
        <f>-C84</f>
        <v>-38000000</v>
      </c>
      <c r="M68" s="267"/>
    </row>
    <row r="69" spans="1:13" x14ac:dyDescent="0.3">
      <c r="A69" s="266">
        <v>1</v>
      </c>
      <c r="B69" s="266" t="s">
        <v>993</v>
      </c>
      <c r="K69" s="274" t="s">
        <v>617</v>
      </c>
      <c r="L69" s="275">
        <f>SUM(L67:L68)</f>
        <v>157000000</v>
      </c>
      <c r="M69" s="267"/>
    </row>
    <row r="70" spans="1:13" x14ac:dyDescent="0.3">
      <c r="B70" s="266" t="s">
        <v>601</v>
      </c>
      <c r="L70" s="268"/>
      <c r="M70" s="267"/>
    </row>
    <row r="71" spans="1:13" x14ac:dyDescent="0.3">
      <c r="J71" s="266" t="s">
        <v>619</v>
      </c>
      <c r="K71" s="266" t="s">
        <v>616</v>
      </c>
      <c r="L71" s="268">
        <f>+C84</f>
        <v>38000000</v>
      </c>
      <c r="M71" s="312">
        <f>+L71/L72</f>
        <v>0.19487179487179487</v>
      </c>
    </row>
    <row r="72" spans="1:13" x14ac:dyDescent="0.3">
      <c r="A72" s="266">
        <v>2</v>
      </c>
      <c r="B72" s="266" t="s">
        <v>627</v>
      </c>
      <c r="K72" s="266" t="s">
        <v>615</v>
      </c>
      <c r="L72" s="270">
        <f>+C83</f>
        <v>195000000</v>
      </c>
      <c r="M72" s="267"/>
    </row>
    <row r="73" spans="1:13" x14ac:dyDescent="0.3">
      <c r="B73" s="266" t="s">
        <v>601</v>
      </c>
      <c r="L73" s="268"/>
      <c r="M73" s="267"/>
    </row>
    <row r="74" spans="1:13" x14ac:dyDescent="0.3">
      <c r="J74" s="266" t="s">
        <v>620</v>
      </c>
      <c r="K74" s="266" t="s">
        <v>979</v>
      </c>
      <c r="L74" s="268">
        <f>+C81</f>
        <v>85000000</v>
      </c>
      <c r="M74" s="267"/>
    </row>
    <row r="75" spans="1:13" x14ac:dyDescent="0.3">
      <c r="A75" s="266">
        <v>3</v>
      </c>
      <c r="B75" s="266" t="s">
        <v>604</v>
      </c>
      <c r="K75" s="266" t="s">
        <v>609</v>
      </c>
      <c r="L75" s="313">
        <f>+C82</f>
        <v>0.06</v>
      </c>
      <c r="M75" s="267"/>
    </row>
    <row r="76" spans="1:13" x14ac:dyDescent="0.3">
      <c r="B76" s="266" t="s">
        <v>605</v>
      </c>
      <c r="K76" s="274" t="s">
        <v>621</v>
      </c>
      <c r="L76" s="275">
        <f>+L74*L75+L74</f>
        <v>90100000</v>
      </c>
      <c r="M76" s="267"/>
    </row>
    <row r="77" spans="1:13" x14ac:dyDescent="0.3">
      <c r="B77" s="266" t="s">
        <v>606</v>
      </c>
      <c r="L77" s="268"/>
      <c r="M77" s="267"/>
    </row>
    <row r="78" spans="1:13" x14ac:dyDescent="0.3">
      <c r="J78" s="266" t="s">
        <v>622</v>
      </c>
      <c r="K78" s="266" t="s">
        <v>621</v>
      </c>
      <c r="L78" s="276">
        <f>+L76</f>
        <v>90100000</v>
      </c>
      <c r="M78" s="267"/>
    </row>
    <row r="79" spans="1:13" x14ac:dyDescent="0.3">
      <c r="B79" s="288" t="s">
        <v>607</v>
      </c>
      <c r="K79" s="266" t="s">
        <v>616</v>
      </c>
      <c r="L79" s="276">
        <f>+L78*M71*-1</f>
        <v>-17557948.71794872</v>
      </c>
      <c r="M79" s="267"/>
    </row>
    <row r="80" spans="1:13" x14ac:dyDescent="0.3">
      <c r="K80" s="274" t="s">
        <v>623</v>
      </c>
      <c r="L80" s="275">
        <f>SUM(L78:L79)</f>
        <v>72542051.28205128</v>
      </c>
      <c r="M80" s="267"/>
    </row>
    <row r="81" spans="2:13" x14ac:dyDescent="0.3">
      <c r="B81" s="266" t="s">
        <v>608</v>
      </c>
      <c r="C81" s="268">
        <v>85000000</v>
      </c>
      <c r="L81" s="268"/>
      <c r="M81" s="267"/>
    </row>
    <row r="82" spans="2:13" x14ac:dyDescent="0.3">
      <c r="B82" s="266" t="s">
        <v>610</v>
      </c>
      <c r="C82" s="298">
        <v>0.06</v>
      </c>
      <c r="J82" s="266" t="s">
        <v>624</v>
      </c>
      <c r="K82" s="266" t="str">
        <f>+K69</f>
        <v>Venta Excluyendo el Terreno</v>
      </c>
      <c r="L82" s="276">
        <f>+L69</f>
        <v>157000000</v>
      </c>
      <c r="M82" s="267"/>
    </row>
    <row r="83" spans="2:13" x14ac:dyDescent="0.3">
      <c r="B83" s="266" t="s">
        <v>611</v>
      </c>
      <c r="C83" s="268">
        <v>195000000</v>
      </c>
      <c r="K83" s="266" t="str">
        <f>+K80</f>
        <v>Valor de Adquisición Excl. El Terreno</v>
      </c>
      <c r="L83" s="276">
        <f>-L80</f>
        <v>-72542051.28205128</v>
      </c>
      <c r="M83" s="267"/>
    </row>
    <row r="84" spans="2:13" x14ac:dyDescent="0.3">
      <c r="B84" s="266" t="s">
        <v>612</v>
      </c>
      <c r="C84" s="268">
        <v>38000000</v>
      </c>
      <c r="D84" s="267" t="s">
        <v>613</v>
      </c>
      <c r="K84" s="274" t="s">
        <v>625</v>
      </c>
      <c r="L84" s="275">
        <f>SUM(L82:L83)</f>
        <v>84457948.71794872</v>
      </c>
      <c r="M84" s="267"/>
    </row>
    <row r="85" spans="2:13" x14ac:dyDescent="0.3">
      <c r="C85" s="268"/>
      <c r="J85" s="273">
        <v>0.19</v>
      </c>
      <c r="K85" s="266" t="s">
        <v>486</v>
      </c>
      <c r="L85" s="276">
        <f>+L84*J85</f>
        <v>16047010.256410258</v>
      </c>
      <c r="M85" s="267"/>
    </row>
    <row r="86" spans="2:13" x14ac:dyDescent="0.3">
      <c r="B86" s="271" t="s">
        <v>614</v>
      </c>
      <c r="C86" s="268"/>
      <c r="K86" s="274" t="s">
        <v>996</v>
      </c>
      <c r="L86" s="275">
        <f>+L84+L85</f>
        <v>100504958.97435898</v>
      </c>
      <c r="M86" s="267"/>
    </row>
    <row r="88" spans="2:13" x14ac:dyDescent="0.3">
      <c r="C88" s="268"/>
      <c r="K88" s="266" t="s">
        <v>571</v>
      </c>
      <c r="L88" s="276">
        <f>-L68+L80</f>
        <v>110542051.28205128</v>
      </c>
    </row>
    <row r="89" spans="2:13" x14ac:dyDescent="0.3">
      <c r="K89" s="266" t="s">
        <v>997</v>
      </c>
      <c r="L89" s="426">
        <f>+L84</f>
        <v>84457948.71794872</v>
      </c>
      <c r="M89" s="426">
        <f>+L88+L89</f>
        <v>195000000</v>
      </c>
    </row>
    <row r="90" spans="2:13" x14ac:dyDescent="0.3">
      <c r="K90" s="266" t="s">
        <v>486</v>
      </c>
      <c r="L90" s="276">
        <f>+L85</f>
        <v>16047010.256410258</v>
      </c>
    </row>
    <row r="91" spans="2:13" x14ac:dyDescent="0.3">
      <c r="K91" s="274" t="s">
        <v>626</v>
      </c>
      <c r="L91" s="275">
        <f>SUM(L88:L90)</f>
        <v>211047010.25641027</v>
      </c>
    </row>
  </sheetData>
  <mergeCells count="6">
    <mergeCell ref="A7:C7"/>
    <mergeCell ref="J7:L7"/>
    <mergeCell ref="A34:C34"/>
    <mergeCell ref="J34:L34"/>
    <mergeCell ref="A64:C64"/>
    <mergeCell ref="J64:L6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ECC3-B6CA-4B47-A877-9868D5C34C6E}">
  <sheetPr>
    <tabColor rgb="FF00B0F0"/>
  </sheetPr>
  <dimension ref="B2:AA224"/>
  <sheetViews>
    <sheetView showGridLines="0" view="pageBreakPreview" zoomScale="80" zoomScaleNormal="75" zoomScaleSheetLayoutView="80" workbookViewId="0">
      <pane ySplit="8" topLeftCell="A12" activePane="bottomLeft" state="frozen"/>
      <selection pane="bottomLeft" activeCell="S37" sqref="S37"/>
    </sheetView>
  </sheetViews>
  <sheetFormatPr baseColWidth="10" defaultColWidth="11.42578125" defaultRowHeight="15" x14ac:dyDescent="0.25"/>
  <cols>
    <col min="1" max="1" width="3.5703125" style="1" customWidth="1"/>
    <col min="2" max="2" width="4.7109375" style="1" bestFit="1" customWidth="1"/>
    <col min="3" max="3" width="14.42578125" style="1" customWidth="1"/>
    <col min="4" max="5" width="11.42578125" style="1"/>
    <col min="6" max="7" width="4.7109375" style="1" bestFit="1" customWidth="1"/>
    <col min="8" max="8" width="11.42578125" style="1"/>
    <col min="9" max="9" width="5.28515625" style="1" bestFit="1" customWidth="1"/>
    <col min="10" max="10" width="4.7109375" style="1" bestFit="1" customWidth="1"/>
    <col min="11" max="11" width="21.140625" style="1" customWidth="1"/>
    <col min="12" max="12" width="11.42578125" style="1"/>
    <col min="13" max="13" width="6.85546875" style="1" customWidth="1"/>
    <col min="14" max="14" width="8.28515625" style="1" bestFit="1" customWidth="1"/>
    <col min="15" max="15" width="4.7109375" style="1" bestFit="1" customWidth="1"/>
    <col min="16" max="16" width="17.5703125" style="1" customWidth="1"/>
    <col min="17" max="17" width="2.42578125" style="1" bestFit="1" customWidth="1"/>
    <col min="18" max="18" width="4.7109375" style="1" bestFit="1" customWidth="1"/>
    <col min="19" max="19" width="17.85546875" style="1" customWidth="1"/>
    <col min="20" max="20" width="2.42578125" style="1" bestFit="1" customWidth="1"/>
    <col min="21" max="21" width="11.42578125" style="1"/>
    <col min="22" max="22" width="6.5703125" style="1" customWidth="1"/>
    <col min="23" max="16384" width="11.42578125" style="1"/>
  </cols>
  <sheetData>
    <row r="2" spans="2:20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x14ac:dyDescent="0.25">
      <c r="B3" s="3"/>
      <c r="C3" s="551" t="s">
        <v>21</v>
      </c>
      <c r="D3" s="552"/>
      <c r="E3" s="553"/>
      <c r="F3" s="3"/>
      <c r="G3" s="3"/>
      <c r="H3" s="3"/>
      <c r="I3" s="551" t="s">
        <v>22</v>
      </c>
      <c r="J3" s="552"/>
      <c r="K3" s="552"/>
      <c r="L3" s="552"/>
      <c r="M3" s="553"/>
      <c r="N3" s="3"/>
      <c r="O3" s="3"/>
      <c r="P3" s="3"/>
      <c r="Q3" s="551" t="s">
        <v>23</v>
      </c>
      <c r="R3" s="552"/>
      <c r="S3" s="553"/>
      <c r="T3" s="3"/>
    </row>
    <row r="4" spans="2:20" x14ac:dyDescent="0.25">
      <c r="B4" s="2"/>
      <c r="C4" s="554">
        <v>15</v>
      </c>
      <c r="D4" s="123" t="s">
        <v>24</v>
      </c>
      <c r="E4" s="4" t="s">
        <v>25</v>
      </c>
      <c r="F4" s="2"/>
      <c r="G4" s="2"/>
      <c r="H4" s="2"/>
      <c r="I4" s="554">
        <v>3</v>
      </c>
      <c r="J4" s="556">
        <f>+Indice!B9</f>
        <v>0</v>
      </c>
      <c r="K4" s="556"/>
      <c r="L4" s="556"/>
      <c r="M4" s="557"/>
      <c r="N4" s="2"/>
      <c r="O4" s="2"/>
      <c r="P4" s="2"/>
      <c r="Q4" s="554">
        <v>7</v>
      </c>
      <c r="R4" s="560"/>
      <c r="S4" s="561"/>
      <c r="T4" s="2"/>
    </row>
    <row r="5" spans="2:20" ht="15.75" thickBot="1" x14ac:dyDescent="0.3">
      <c r="B5" s="2"/>
      <c r="C5" s="555"/>
      <c r="D5" s="5">
        <v>9</v>
      </c>
      <c r="E5" s="6">
        <v>2024</v>
      </c>
      <c r="F5" s="2"/>
      <c r="G5" s="2"/>
      <c r="H5" s="2"/>
      <c r="I5" s="555"/>
      <c r="J5" s="558"/>
      <c r="K5" s="558"/>
      <c r="L5" s="558"/>
      <c r="M5" s="559"/>
      <c r="N5" s="2"/>
      <c r="O5" s="2"/>
      <c r="P5" s="2"/>
      <c r="Q5" s="555"/>
      <c r="R5" s="562"/>
      <c r="S5" s="563"/>
      <c r="T5" s="2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25">
      <c r="B7" s="7">
        <v>1</v>
      </c>
      <c r="C7" s="485" t="s">
        <v>26</v>
      </c>
      <c r="D7" s="485"/>
      <c r="E7" s="485"/>
      <c r="F7" s="485"/>
      <c r="G7" s="485"/>
      <c r="H7" s="485"/>
      <c r="I7" s="8">
        <v>2</v>
      </c>
      <c r="J7" s="485" t="s">
        <v>27</v>
      </c>
      <c r="K7" s="485"/>
      <c r="L7" s="485"/>
      <c r="M7" s="485"/>
      <c r="N7" s="485"/>
      <c r="O7" s="8">
        <v>5</v>
      </c>
      <c r="P7" s="485" t="s">
        <v>28</v>
      </c>
      <c r="Q7" s="485"/>
      <c r="R7" s="485"/>
      <c r="S7" s="485"/>
      <c r="T7" s="498"/>
    </row>
    <row r="8" spans="2:20" ht="15.75" thickBot="1" x14ac:dyDescent="0.3">
      <c r="B8" s="564"/>
      <c r="C8" s="562"/>
      <c r="D8" s="562"/>
      <c r="E8" s="562"/>
      <c r="F8" s="562"/>
      <c r="G8" s="562"/>
      <c r="H8" s="562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6"/>
    </row>
    <row r="9" spans="2:20" ht="15.75" thickBot="1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x14ac:dyDescent="0.25">
      <c r="B10" s="484" t="s">
        <v>29</v>
      </c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6"/>
    </row>
    <row r="11" spans="2:20" x14ac:dyDescent="0.25">
      <c r="B11" s="518" t="s">
        <v>30</v>
      </c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47"/>
    </row>
    <row r="12" spans="2:20" x14ac:dyDescent="0.25">
      <c r="B12" s="518" t="s">
        <v>31</v>
      </c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47"/>
    </row>
    <row r="13" spans="2:20" x14ac:dyDescent="0.25">
      <c r="B13" s="503" t="s">
        <v>32</v>
      </c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 t="s">
        <v>33</v>
      </c>
      <c r="N13" s="504"/>
      <c r="O13" s="504"/>
      <c r="P13" s="504"/>
      <c r="Q13" s="504"/>
      <c r="R13" s="504" t="s">
        <v>34</v>
      </c>
      <c r="S13" s="504"/>
      <c r="T13" s="505"/>
    </row>
    <row r="14" spans="2:20" x14ac:dyDescent="0.25">
      <c r="B14" s="49">
        <v>1</v>
      </c>
      <c r="C14" s="471" t="s">
        <v>35</v>
      </c>
      <c r="D14" s="471"/>
      <c r="E14" s="471"/>
      <c r="F14" s="471"/>
      <c r="G14" s="471"/>
      <c r="H14" s="471"/>
      <c r="I14" s="471"/>
      <c r="J14" s="471"/>
      <c r="K14" s="471"/>
      <c r="L14" s="471"/>
      <c r="M14" s="125">
        <v>585</v>
      </c>
      <c r="N14" s="506"/>
      <c r="O14" s="506"/>
      <c r="P14" s="506"/>
      <c r="Q14" s="506"/>
      <c r="R14" s="125">
        <v>20</v>
      </c>
      <c r="S14" s="127"/>
      <c r="T14" s="48"/>
    </row>
    <row r="15" spans="2:20" x14ac:dyDescent="0.25">
      <c r="B15" s="49">
        <v>2</v>
      </c>
      <c r="C15" s="471" t="s">
        <v>36</v>
      </c>
      <c r="D15" s="471"/>
      <c r="E15" s="471"/>
      <c r="F15" s="471"/>
      <c r="G15" s="471"/>
      <c r="H15" s="471"/>
      <c r="I15" s="471"/>
      <c r="J15" s="471"/>
      <c r="K15" s="471"/>
      <c r="L15" s="471"/>
      <c r="M15" s="125">
        <v>586</v>
      </c>
      <c r="N15" s="541"/>
      <c r="O15" s="541"/>
      <c r="P15" s="541"/>
      <c r="Q15" s="541"/>
      <c r="R15" s="125">
        <v>142</v>
      </c>
      <c r="S15" s="129"/>
      <c r="T15" s="48"/>
    </row>
    <row r="16" spans="2:20" x14ac:dyDescent="0.25">
      <c r="B16" s="49">
        <v>3</v>
      </c>
      <c r="C16" s="471" t="s">
        <v>37</v>
      </c>
      <c r="D16" s="471"/>
      <c r="E16" s="471"/>
      <c r="F16" s="471"/>
      <c r="G16" s="471"/>
      <c r="H16" s="471"/>
      <c r="I16" s="471"/>
      <c r="J16" s="471"/>
      <c r="K16" s="471"/>
      <c r="L16" s="471"/>
      <c r="M16" s="125">
        <v>731</v>
      </c>
      <c r="N16" s="506"/>
      <c r="O16" s="506"/>
      <c r="P16" s="506"/>
      <c r="Q16" s="506"/>
      <c r="R16" s="125">
        <v>732</v>
      </c>
      <c r="S16" s="127"/>
      <c r="T16" s="48"/>
    </row>
    <row r="17" spans="2:20" x14ac:dyDescent="0.25">
      <c r="B17" s="49">
        <v>4</v>
      </c>
      <c r="C17" s="471" t="s">
        <v>38</v>
      </c>
      <c r="D17" s="471"/>
      <c r="E17" s="471"/>
      <c r="F17" s="471"/>
      <c r="G17" s="471"/>
      <c r="H17" s="471"/>
      <c r="I17" s="471"/>
      <c r="J17" s="471"/>
      <c r="K17" s="471"/>
      <c r="L17" s="471"/>
      <c r="M17" s="125">
        <v>714</v>
      </c>
      <c r="N17" s="506"/>
      <c r="O17" s="506"/>
      <c r="P17" s="506"/>
      <c r="Q17" s="506"/>
      <c r="R17" s="125">
        <v>715</v>
      </c>
      <c r="S17" s="127"/>
      <c r="T17" s="48"/>
    </row>
    <row r="18" spans="2:20" x14ac:dyDescent="0.25">
      <c r="B18" s="49">
        <v>5</v>
      </c>
      <c r="C18" s="471" t="s">
        <v>39</v>
      </c>
      <c r="D18" s="471"/>
      <c r="E18" s="471"/>
      <c r="F18" s="471"/>
      <c r="G18" s="471"/>
      <c r="H18" s="471"/>
      <c r="I18" s="471"/>
      <c r="J18" s="471"/>
      <c r="K18" s="471"/>
      <c r="L18" s="471"/>
      <c r="M18" s="125">
        <v>515</v>
      </c>
      <c r="N18" s="506"/>
      <c r="O18" s="506"/>
      <c r="P18" s="506"/>
      <c r="Q18" s="506"/>
      <c r="R18" s="125">
        <v>587</v>
      </c>
      <c r="S18" s="127"/>
      <c r="T18" s="48"/>
    </row>
    <row r="19" spans="2:20" x14ac:dyDescent="0.25">
      <c r="B19" s="49">
        <v>6</v>
      </c>
      <c r="C19" s="471" t="s">
        <v>40</v>
      </c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125">
        <v>720</v>
      </c>
      <c r="S19" s="127"/>
      <c r="T19" s="48"/>
    </row>
    <row r="20" spans="2:20" x14ac:dyDescent="0.25">
      <c r="B20" s="503" t="s">
        <v>41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 t="s">
        <v>33</v>
      </c>
      <c r="N20" s="504"/>
      <c r="O20" s="504"/>
      <c r="P20" s="504"/>
      <c r="Q20" s="504"/>
      <c r="R20" s="504" t="s">
        <v>42</v>
      </c>
      <c r="S20" s="504"/>
      <c r="T20" s="47"/>
    </row>
    <row r="21" spans="2:20" x14ac:dyDescent="0.25">
      <c r="B21" s="244">
        <v>7</v>
      </c>
      <c r="C21" s="520" t="s">
        <v>43</v>
      </c>
      <c r="D21" s="520"/>
      <c r="E21" s="520"/>
      <c r="F21" s="520"/>
      <c r="G21" s="520"/>
      <c r="H21" s="520"/>
      <c r="I21" s="520"/>
      <c r="J21" s="520"/>
      <c r="K21" s="520"/>
      <c r="L21" s="520"/>
      <c r="M21" s="245">
        <v>503</v>
      </c>
      <c r="N21" s="521"/>
      <c r="O21" s="521"/>
      <c r="P21" s="521"/>
      <c r="Q21" s="521"/>
      <c r="R21" s="245">
        <v>502</v>
      </c>
      <c r="S21" s="283">
        <f>SUM('Ej.4 Bienes R. Art.16 y 17'!L28)</f>
        <v>463025.21008403361</v>
      </c>
      <c r="T21" s="48" t="s">
        <v>44</v>
      </c>
    </row>
    <row r="22" spans="2:20" x14ac:dyDescent="0.25">
      <c r="B22" s="49">
        <v>8</v>
      </c>
      <c r="C22" s="471" t="s">
        <v>45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125">
        <v>763</v>
      </c>
      <c r="N22" s="506"/>
      <c r="O22" s="506"/>
      <c r="P22" s="506"/>
      <c r="Q22" s="506"/>
      <c r="R22" s="125">
        <v>764</v>
      </c>
      <c r="S22" s="129"/>
      <c r="T22" s="48" t="s">
        <v>44</v>
      </c>
    </row>
    <row r="23" spans="2:20" x14ac:dyDescent="0.25">
      <c r="B23" s="49">
        <v>9</v>
      </c>
      <c r="C23" s="471" t="s">
        <v>46</v>
      </c>
      <c r="D23" s="471"/>
      <c r="E23" s="471"/>
      <c r="F23" s="471"/>
      <c r="G23" s="471"/>
      <c r="H23" s="471"/>
      <c r="I23" s="471"/>
      <c r="J23" s="471"/>
      <c r="K23" s="471"/>
      <c r="L23" s="471"/>
      <c r="M23" s="125">
        <v>716</v>
      </c>
      <c r="N23" s="506"/>
      <c r="O23" s="506"/>
      <c r="P23" s="506"/>
      <c r="Q23" s="506"/>
      <c r="R23" s="125">
        <v>717</v>
      </c>
      <c r="S23" s="129"/>
      <c r="T23" s="48" t="s">
        <v>44</v>
      </c>
    </row>
    <row r="24" spans="2:20" x14ac:dyDescent="0.25">
      <c r="B24" s="244">
        <v>10</v>
      </c>
      <c r="C24" s="520" t="s">
        <v>47</v>
      </c>
      <c r="D24" s="520"/>
      <c r="E24" s="520"/>
      <c r="F24" s="520"/>
      <c r="G24" s="520"/>
      <c r="H24" s="520"/>
      <c r="I24" s="520"/>
      <c r="J24" s="520"/>
      <c r="K24" s="520"/>
      <c r="L24" s="520"/>
      <c r="M24" s="245">
        <v>110</v>
      </c>
      <c r="N24" s="521"/>
      <c r="O24" s="521"/>
      <c r="P24" s="521"/>
      <c r="Q24" s="521"/>
      <c r="R24" s="245">
        <v>111</v>
      </c>
      <c r="S24" s="283">
        <f>SUM('Ej.4 Bienes R. Art.16 y 17'!C28)</f>
        <v>7327.0404052031781</v>
      </c>
      <c r="T24" s="48" t="s">
        <v>44</v>
      </c>
    </row>
    <row r="25" spans="2:20" x14ac:dyDescent="0.25">
      <c r="B25" s="244">
        <v>11</v>
      </c>
      <c r="C25" s="520" t="s">
        <v>48</v>
      </c>
      <c r="D25" s="520"/>
      <c r="E25" s="520"/>
      <c r="F25" s="520"/>
      <c r="G25" s="520"/>
      <c r="H25" s="520"/>
      <c r="I25" s="520"/>
      <c r="J25" s="520"/>
      <c r="K25" s="520"/>
      <c r="L25" s="520"/>
      <c r="M25" s="245">
        <v>758</v>
      </c>
      <c r="N25" s="521"/>
      <c r="O25" s="521"/>
      <c r="P25" s="521"/>
      <c r="Q25" s="521"/>
      <c r="R25" s="245">
        <v>759</v>
      </c>
      <c r="S25" s="283">
        <f>SUM('Ej.4 Bienes R. Art.16 y 17'!C28)</f>
        <v>7327.0404052031781</v>
      </c>
      <c r="T25" s="48" t="s">
        <v>44</v>
      </c>
    </row>
    <row r="26" spans="2:20" x14ac:dyDescent="0.25">
      <c r="B26" s="49">
        <v>12</v>
      </c>
      <c r="C26" s="471" t="s">
        <v>49</v>
      </c>
      <c r="D26" s="471"/>
      <c r="E26" s="471"/>
      <c r="F26" s="471"/>
      <c r="G26" s="471"/>
      <c r="H26" s="471"/>
      <c r="I26" s="471"/>
      <c r="J26" s="471"/>
      <c r="K26" s="471"/>
      <c r="L26" s="471"/>
      <c r="M26" s="125">
        <v>512</v>
      </c>
      <c r="N26" s="541"/>
      <c r="O26" s="541"/>
      <c r="P26" s="541"/>
      <c r="Q26" s="541"/>
      <c r="R26" s="125">
        <v>513</v>
      </c>
      <c r="S26" s="129"/>
      <c r="T26" s="48" t="s">
        <v>44</v>
      </c>
    </row>
    <row r="27" spans="2:20" x14ac:dyDescent="0.25">
      <c r="B27" s="49">
        <v>13</v>
      </c>
      <c r="C27" s="471" t="s">
        <v>50</v>
      </c>
      <c r="D27" s="471"/>
      <c r="E27" s="471"/>
      <c r="F27" s="471"/>
      <c r="G27" s="471"/>
      <c r="H27" s="471"/>
      <c r="I27" s="471"/>
      <c r="J27" s="471"/>
      <c r="K27" s="471"/>
      <c r="L27" s="471"/>
      <c r="M27" s="125">
        <v>509</v>
      </c>
      <c r="N27" s="541"/>
      <c r="O27" s="541"/>
      <c r="P27" s="541"/>
      <c r="Q27" s="541"/>
      <c r="R27" s="125">
        <v>510</v>
      </c>
      <c r="S27" s="129"/>
      <c r="T27" s="48" t="s">
        <v>51</v>
      </c>
    </row>
    <row r="28" spans="2:20" x14ac:dyDescent="0.25">
      <c r="B28" s="49">
        <v>14</v>
      </c>
      <c r="C28" s="471" t="s">
        <v>52</v>
      </c>
      <c r="D28" s="471"/>
      <c r="E28" s="471"/>
      <c r="F28" s="471"/>
      <c r="G28" s="471"/>
      <c r="H28" s="471"/>
      <c r="I28" s="471"/>
      <c r="J28" s="471"/>
      <c r="K28" s="471"/>
      <c r="L28" s="471"/>
      <c r="M28" s="125">
        <v>708</v>
      </c>
      <c r="N28" s="541"/>
      <c r="O28" s="541"/>
      <c r="P28" s="541"/>
      <c r="Q28" s="541"/>
      <c r="R28" s="125">
        <v>709</v>
      </c>
      <c r="S28" s="129"/>
      <c r="T28" s="48" t="s">
        <v>51</v>
      </c>
    </row>
    <row r="29" spans="2:20" x14ac:dyDescent="0.25">
      <c r="B29" s="49">
        <v>15</v>
      </c>
      <c r="C29" s="471" t="s">
        <v>53</v>
      </c>
      <c r="D29" s="471"/>
      <c r="E29" s="471"/>
      <c r="F29" s="471"/>
      <c r="G29" s="471"/>
      <c r="H29" s="471"/>
      <c r="I29" s="471"/>
      <c r="J29" s="471"/>
      <c r="K29" s="471"/>
      <c r="L29" s="471"/>
      <c r="M29" s="125">
        <v>733</v>
      </c>
      <c r="N29" s="506"/>
      <c r="O29" s="506"/>
      <c r="P29" s="506"/>
      <c r="Q29" s="506"/>
      <c r="R29" s="125">
        <v>734</v>
      </c>
      <c r="S29" s="129"/>
      <c r="T29" s="48" t="s">
        <v>51</v>
      </c>
    </row>
    <row r="30" spans="2:20" x14ac:dyDescent="0.25">
      <c r="B30" s="49">
        <v>16</v>
      </c>
      <c r="C30" s="471" t="s">
        <v>54</v>
      </c>
      <c r="D30" s="471"/>
      <c r="E30" s="471"/>
      <c r="F30" s="471"/>
      <c r="G30" s="471"/>
      <c r="H30" s="471"/>
      <c r="I30" s="471"/>
      <c r="J30" s="471"/>
      <c r="K30" s="471"/>
      <c r="L30" s="471"/>
      <c r="M30" s="125">
        <v>516</v>
      </c>
      <c r="N30" s="506"/>
      <c r="O30" s="506"/>
      <c r="P30" s="506"/>
      <c r="Q30" s="506"/>
      <c r="R30" s="125">
        <v>517</v>
      </c>
      <c r="S30" s="129"/>
      <c r="T30" s="48" t="s">
        <v>44</v>
      </c>
    </row>
    <row r="31" spans="2:20" x14ac:dyDescent="0.25">
      <c r="B31" s="49">
        <v>17</v>
      </c>
      <c r="C31" s="471" t="s">
        <v>55</v>
      </c>
      <c r="D31" s="471"/>
      <c r="E31" s="471"/>
      <c r="F31" s="471"/>
      <c r="G31" s="471"/>
      <c r="H31" s="471"/>
      <c r="I31" s="471"/>
      <c r="J31" s="471"/>
      <c r="K31" s="471"/>
      <c r="L31" s="471"/>
      <c r="M31" s="125">
        <v>500</v>
      </c>
      <c r="N31" s="506"/>
      <c r="O31" s="506"/>
      <c r="P31" s="506"/>
      <c r="Q31" s="506"/>
      <c r="R31" s="125">
        <v>501</v>
      </c>
      <c r="S31" s="129"/>
      <c r="T31" s="48" t="s">
        <v>44</v>
      </c>
    </row>
    <row r="32" spans="2:20" x14ac:dyDescent="0.25">
      <c r="B32" s="49">
        <v>18</v>
      </c>
      <c r="C32" s="471" t="s">
        <v>56</v>
      </c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125">
        <v>154</v>
      </c>
      <c r="S32" s="129"/>
      <c r="T32" s="48" t="s">
        <v>44</v>
      </c>
    </row>
    <row r="33" spans="2:27" x14ac:dyDescent="0.25">
      <c r="B33" s="49">
        <v>19</v>
      </c>
      <c r="C33" s="471" t="s">
        <v>57</v>
      </c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125">
        <v>518</v>
      </c>
      <c r="S33" s="129"/>
      <c r="T33" s="48" t="s">
        <v>44</v>
      </c>
    </row>
    <row r="34" spans="2:27" ht="15" customHeight="1" x14ac:dyDescent="0.25">
      <c r="B34" s="49">
        <v>20</v>
      </c>
      <c r="C34" s="471" t="s">
        <v>58</v>
      </c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125">
        <v>713</v>
      </c>
      <c r="S34" s="129"/>
      <c r="T34" s="48" t="s">
        <v>44</v>
      </c>
    </row>
    <row r="35" spans="2:27" x14ac:dyDescent="0.25">
      <c r="B35" s="49">
        <v>21</v>
      </c>
      <c r="C35" s="471" t="s">
        <v>59</v>
      </c>
      <c r="D35" s="471"/>
      <c r="E35" s="471"/>
      <c r="F35" s="124" t="s">
        <v>60</v>
      </c>
      <c r="G35" s="125">
        <v>738</v>
      </c>
      <c r="H35" s="126"/>
      <c r="I35" s="124" t="s">
        <v>61</v>
      </c>
      <c r="J35" s="125">
        <v>739</v>
      </c>
      <c r="K35" s="506"/>
      <c r="L35" s="506"/>
      <c r="M35" s="506"/>
      <c r="N35" s="124" t="s">
        <v>62</v>
      </c>
      <c r="O35" s="125">
        <v>740</v>
      </c>
      <c r="P35" s="506"/>
      <c r="Q35" s="506"/>
      <c r="R35" s="125">
        <v>741</v>
      </c>
      <c r="S35" s="129"/>
      <c r="T35" s="48" t="s">
        <v>44</v>
      </c>
    </row>
    <row r="36" spans="2:27" x14ac:dyDescent="0.25">
      <c r="B36" s="117">
        <v>22</v>
      </c>
      <c r="C36" s="478" t="s">
        <v>63</v>
      </c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479"/>
      <c r="R36" s="118">
        <v>791</v>
      </c>
      <c r="S36" s="130"/>
      <c r="T36" s="48" t="s">
        <v>44</v>
      </c>
    </row>
    <row r="37" spans="2:27" ht="15.75" thickBot="1" x14ac:dyDescent="0.3">
      <c r="B37" s="10">
        <v>23</v>
      </c>
      <c r="C37" s="470" t="s">
        <v>64</v>
      </c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52">
        <v>538</v>
      </c>
      <c r="S37" s="50">
        <f>+S21+S22+S23+S24+S25+S26-S27-S28-S29+S30+S31+S32+S33+S34+S35+S36</f>
        <v>477679.29089443997</v>
      </c>
      <c r="T37" s="11" t="s">
        <v>65</v>
      </c>
    </row>
    <row r="38" spans="2:27" ht="15.75" thickBot="1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2:27" x14ac:dyDescent="0.25">
      <c r="B39" s="484" t="s">
        <v>66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6"/>
    </row>
    <row r="40" spans="2:27" ht="18" customHeight="1" x14ac:dyDescent="0.25">
      <c r="B40" s="518" t="s">
        <v>67</v>
      </c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47"/>
    </row>
    <row r="41" spans="2:27" ht="27" customHeight="1" x14ac:dyDescent="0.25">
      <c r="B41" s="503" t="s">
        <v>69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 t="s">
        <v>70</v>
      </c>
      <c r="N41" s="504"/>
      <c r="O41" s="504"/>
      <c r="P41" s="504"/>
      <c r="Q41" s="504"/>
      <c r="R41" s="504" t="s">
        <v>71</v>
      </c>
      <c r="S41" s="504"/>
      <c r="T41" s="505"/>
    </row>
    <row r="42" spans="2:27" ht="15" customHeight="1" x14ac:dyDescent="0.25">
      <c r="B42" s="49">
        <v>24</v>
      </c>
      <c r="C42" s="471" t="s">
        <v>74</v>
      </c>
      <c r="D42" s="471"/>
      <c r="E42" s="471"/>
      <c r="F42" s="471"/>
      <c r="G42" s="471"/>
      <c r="H42" s="471"/>
      <c r="I42" s="471"/>
      <c r="J42" s="471"/>
      <c r="K42" s="471"/>
      <c r="L42" s="471"/>
      <c r="M42" s="125">
        <v>511</v>
      </c>
      <c r="N42" s="602"/>
      <c r="O42" s="603"/>
      <c r="P42" s="603"/>
      <c r="Q42" s="604"/>
      <c r="R42" s="125">
        <v>514</v>
      </c>
      <c r="S42" s="277"/>
      <c r="T42" s="48"/>
      <c r="V42" s="77"/>
      <c r="W42" s="77"/>
      <c r="Y42" s="77"/>
      <c r="Z42" s="77"/>
      <c r="AA42" s="77"/>
    </row>
    <row r="43" spans="2:27" x14ac:dyDescent="0.25">
      <c r="B43" s="518" t="s">
        <v>75</v>
      </c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47"/>
    </row>
    <row r="44" spans="2:27" x14ac:dyDescent="0.25">
      <c r="B44" s="503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 t="s">
        <v>33</v>
      </c>
      <c r="N44" s="504"/>
      <c r="O44" s="504"/>
      <c r="P44" s="504"/>
      <c r="Q44" s="504"/>
      <c r="R44" s="504" t="s">
        <v>34</v>
      </c>
      <c r="S44" s="504"/>
      <c r="T44" s="505"/>
    </row>
    <row r="45" spans="2:27" x14ac:dyDescent="0.25">
      <c r="B45" s="49">
        <v>25</v>
      </c>
      <c r="C45" s="471" t="s">
        <v>78</v>
      </c>
      <c r="D45" s="471"/>
      <c r="E45" s="471"/>
      <c r="F45" s="471"/>
      <c r="G45" s="471"/>
      <c r="H45" s="471"/>
      <c r="I45" s="471"/>
      <c r="J45" s="471"/>
      <c r="K45" s="471"/>
      <c r="L45" s="471"/>
      <c r="M45" s="125">
        <v>564</v>
      </c>
      <c r="N45" s="541"/>
      <c r="O45" s="541"/>
      <c r="P45" s="541"/>
      <c r="Q45" s="541"/>
      <c r="R45" s="125">
        <v>521</v>
      </c>
      <c r="S45" s="132"/>
      <c r="T45" s="48"/>
      <c r="U45" s="78"/>
      <c r="V45" s="78"/>
      <c r="W45" s="78"/>
      <c r="X45" s="78"/>
      <c r="Y45" s="78"/>
    </row>
    <row r="46" spans="2:27" x14ac:dyDescent="0.25">
      <c r="B46" s="49">
        <v>26</v>
      </c>
      <c r="C46" s="471" t="s">
        <v>79</v>
      </c>
      <c r="D46" s="471"/>
      <c r="E46" s="471"/>
      <c r="F46" s="471"/>
      <c r="G46" s="471"/>
      <c r="H46" s="471"/>
      <c r="I46" s="471"/>
      <c r="J46" s="471"/>
      <c r="K46" s="471"/>
      <c r="L46" s="471"/>
      <c r="M46" s="125">
        <v>566</v>
      </c>
      <c r="N46" s="506"/>
      <c r="O46" s="506"/>
      <c r="P46" s="506"/>
      <c r="Q46" s="506"/>
      <c r="R46" s="125">
        <v>560</v>
      </c>
      <c r="S46" s="127"/>
      <c r="T46" s="48"/>
    </row>
    <row r="47" spans="2:27" x14ac:dyDescent="0.25">
      <c r="B47" s="49">
        <v>27</v>
      </c>
      <c r="C47" s="471" t="s">
        <v>80</v>
      </c>
      <c r="D47" s="471"/>
      <c r="E47" s="471"/>
      <c r="F47" s="471"/>
      <c r="G47" s="471"/>
      <c r="H47" s="471"/>
      <c r="I47" s="471"/>
      <c r="J47" s="471"/>
      <c r="K47" s="471"/>
      <c r="L47" s="471"/>
      <c r="M47" s="125">
        <v>584</v>
      </c>
      <c r="N47" s="541"/>
      <c r="O47" s="541"/>
      <c r="P47" s="541"/>
      <c r="Q47" s="541"/>
      <c r="R47" s="125">
        <v>562</v>
      </c>
      <c r="S47" s="132"/>
      <c r="T47" s="48"/>
    </row>
    <row r="48" spans="2:27" x14ac:dyDescent="0.25">
      <c r="B48" s="518" t="s">
        <v>81</v>
      </c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47"/>
    </row>
    <row r="49" spans="2:20" x14ac:dyDescent="0.25">
      <c r="B49" s="518" t="s">
        <v>82</v>
      </c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47"/>
    </row>
    <row r="50" spans="2:20" ht="30" customHeight="1" x14ac:dyDescent="0.25">
      <c r="B50" s="503"/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 t="s">
        <v>33</v>
      </c>
      <c r="N50" s="504"/>
      <c r="O50" s="504"/>
      <c r="P50" s="504"/>
      <c r="Q50" s="504"/>
      <c r="R50" s="504" t="s">
        <v>83</v>
      </c>
      <c r="S50" s="504"/>
      <c r="T50" s="505"/>
    </row>
    <row r="51" spans="2:20" x14ac:dyDescent="0.25">
      <c r="B51" s="49">
        <v>28</v>
      </c>
      <c r="C51" s="471" t="s">
        <v>84</v>
      </c>
      <c r="D51" s="471"/>
      <c r="E51" s="471"/>
      <c r="F51" s="471"/>
      <c r="G51" s="471"/>
      <c r="H51" s="471"/>
      <c r="I51" s="471"/>
      <c r="J51" s="471"/>
      <c r="K51" s="471"/>
      <c r="L51" s="471"/>
      <c r="M51" s="125">
        <v>519</v>
      </c>
      <c r="N51" s="541"/>
      <c r="O51" s="541"/>
      <c r="P51" s="541"/>
      <c r="Q51" s="541"/>
      <c r="R51" s="125">
        <v>520</v>
      </c>
      <c r="S51" s="132"/>
      <c r="T51" s="48" t="s">
        <v>44</v>
      </c>
    </row>
    <row r="52" spans="2:20" x14ac:dyDescent="0.25">
      <c r="B52" s="49">
        <v>29</v>
      </c>
      <c r="C52" s="471" t="s">
        <v>85</v>
      </c>
      <c r="D52" s="471"/>
      <c r="E52" s="471"/>
      <c r="F52" s="471"/>
      <c r="G52" s="471"/>
      <c r="H52" s="471"/>
      <c r="I52" s="471"/>
      <c r="J52" s="471"/>
      <c r="K52" s="471"/>
      <c r="L52" s="471"/>
      <c r="M52" s="125">
        <v>761</v>
      </c>
      <c r="N52" s="506"/>
      <c r="O52" s="506"/>
      <c r="P52" s="506"/>
      <c r="Q52" s="506"/>
      <c r="R52" s="125">
        <v>762</v>
      </c>
      <c r="S52" s="132"/>
      <c r="T52" s="48" t="s">
        <v>44</v>
      </c>
    </row>
    <row r="53" spans="2:20" x14ac:dyDescent="0.25">
      <c r="B53" s="49">
        <v>30</v>
      </c>
      <c r="C53" s="471" t="s">
        <v>86</v>
      </c>
      <c r="D53" s="471"/>
      <c r="E53" s="471"/>
      <c r="F53" s="471"/>
      <c r="G53" s="471"/>
      <c r="H53" s="471"/>
      <c r="I53" s="471"/>
      <c r="J53" s="471"/>
      <c r="K53" s="471"/>
      <c r="L53" s="471"/>
      <c r="M53" s="125">
        <v>765</v>
      </c>
      <c r="N53" s="506"/>
      <c r="O53" s="506"/>
      <c r="P53" s="506"/>
      <c r="Q53" s="506"/>
      <c r="R53" s="125">
        <v>766</v>
      </c>
      <c r="S53" s="132"/>
      <c r="T53" s="48" t="s">
        <v>44</v>
      </c>
    </row>
    <row r="54" spans="2:20" x14ac:dyDescent="0.25">
      <c r="B54" s="49">
        <v>31</v>
      </c>
      <c r="C54" s="471" t="s">
        <v>87</v>
      </c>
      <c r="D54" s="471"/>
      <c r="E54" s="471"/>
      <c r="F54" s="471"/>
      <c r="G54" s="471"/>
      <c r="H54" s="471"/>
      <c r="I54" s="471"/>
      <c r="J54" s="471"/>
      <c r="K54" s="471"/>
      <c r="L54" s="471"/>
      <c r="M54" s="125">
        <v>524</v>
      </c>
      <c r="N54" s="541"/>
      <c r="O54" s="541"/>
      <c r="P54" s="541"/>
      <c r="Q54" s="541"/>
      <c r="R54" s="125">
        <v>525</v>
      </c>
      <c r="S54" s="132"/>
      <c r="T54" s="48" t="s">
        <v>44</v>
      </c>
    </row>
    <row r="55" spans="2:20" x14ac:dyDescent="0.25">
      <c r="B55" s="49">
        <v>32</v>
      </c>
      <c r="C55" s="471" t="s">
        <v>89</v>
      </c>
      <c r="D55" s="471"/>
      <c r="E55" s="471"/>
      <c r="F55" s="471"/>
      <c r="G55" s="471"/>
      <c r="H55" s="471"/>
      <c r="I55" s="471"/>
      <c r="J55" s="471"/>
      <c r="K55" s="471"/>
      <c r="L55" s="471"/>
      <c r="M55" s="125">
        <v>527</v>
      </c>
      <c r="N55" s="541"/>
      <c r="O55" s="541"/>
      <c r="P55" s="541"/>
      <c r="Q55" s="541"/>
      <c r="R55" s="125">
        <v>528</v>
      </c>
      <c r="S55" s="132"/>
      <c r="T55" s="48" t="s">
        <v>51</v>
      </c>
    </row>
    <row r="56" spans="2:20" x14ac:dyDescent="0.25">
      <c r="B56" s="49">
        <v>33</v>
      </c>
      <c r="C56" s="471" t="s">
        <v>90</v>
      </c>
      <c r="D56" s="471"/>
      <c r="E56" s="471"/>
      <c r="F56" s="471"/>
      <c r="G56" s="471"/>
      <c r="H56" s="471"/>
      <c r="I56" s="471"/>
      <c r="J56" s="471"/>
      <c r="K56" s="471"/>
      <c r="L56" s="471"/>
      <c r="M56" s="125">
        <v>531</v>
      </c>
      <c r="N56" s="506"/>
      <c r="O56" s="506"/>
      <c r="P56" s="506"/>
      <c r="Q56" s="506"/>
      <c r="R56" s="125">
        <v>532</v>
      </c>
      <c r="S56" s="132"/>
      <c r="T56" s="48" t="s">
        <v>44</v>
      </c>
    </row>
    <row r="57" spans="2:20" x14ac:dyDescent="0.25">
      <c r="B57" s="518" t="s">
        <v>91</v>
      </c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47"/>
    </row>
    <row r="58" spans="2:20" ht="15" customHeight="1" x14ac:dyDescent="0.25">
      <c r="B58" s="49">
        <v>34</v>
      </c>
      <c r="C58" s="471" t="s">
        <v>92</v>
      </c>
      <c r="D58" s="471"/>
      <c r="E58" s="471"/>
      <c r="F58" s="471"/>
      <c r="G58" s="471"/>
      <c r="H58" s="471"/>
      <c r="I58" s="471"/>
      <c r="J58" s="471"/>
      <c r="K58" s="471"/>
      <c r="L58" s="471"/>
      <c r="M58" s="125">
        <v>534</v>
      </c>
      <c r="N58" s="506"/>
      <c r="O58" s="506"/>
      <c r="P58" s="506"/>
      <c r="Q58" s="506"/>
      <c r="R58" s="125">
        <v>535</v>
      </c>
      <c r="S58" s="132"/>
      <c r="T58" s="48" t="s">
        <v>44</v>
      </c>
    </row>
    <row r="59" spans="2:20" x14ac:dyDescent="0.25">
      <c r="B59" s="49">
        <v>35</v>
      </c>
      <c r="C59" s="471" t="s">
        <v>93</v>
      </c>
      <c r="D59" s="471"/>
      <c r="E59" s="471"/>
      <c r="F59" s="471"/>
      <c r="G59" s="471"/>
      <c r="H59" s="471"/>
      <c r="I59" s="471"/>
      <c r="J59" s="471"/>
      <c r="K59" s="471"/>
      <c r="L59" s="471"/>
      <c r="M59" s="125">
        <v>536</v>
      </c>
      <c r="N59" s="506"/>
      <c r="O59" s="506"/>
      <c r="P59" s="506"/>
      <c r="Q59" s="506"/>
      <c r="R59" s="125">
        <v>553</v>
      </c>
      <c r="S59" s="132"/>
      <c r="T59" s="48" t="s">
        <v>44</v>
      </c>
    </row>
    <row r="60" spans="2:20" x14ac:dyDescent="0.25">
      <c r="B60" s="49">
        <v>36</v>
      </c>
      <c r="C60" s="471" t="s">
        <v>94</v>
      </c>
      <c r="D60" s="471"/>
      <c r="E60" s="471"/>
      <c r="F60" s="471"/>
      <c r="G60" s="471"/>
      <c r="H60" s="471"/>
      <c r="I60" s="471"/>
      <c r="J60" s="471"/>
      <c r="K60" s="471"/>
      <c r="L60" s="471"/>
      <c r="M60" s="471"/>
      <c r="N60" s="471"/>
      <c r="O60" s="471"/>
      <c r="P60" s="471"/>
      <c r="Q60" s="471"/>
      <c r="R60" s="125">
        <v>504</v>
      </c>
      <c r="S60" s="133"/>
      <c r="T60" s="48" t="s">
        <v>44</v>
      </c>
    </row>
    <row r="61" spans="2:20" x14ac:dyDescent="0.25">
      <c r="B61" s="49">
        <v>37</v>
      </c>
      <c r="C61" s="471" t="s">
        <v>95</v>
      </c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125">
        <v>593</v>
      </c>
      <c r="S61" s="132"/>
      <c r="T61" s="48" t="s">
        <v>51</v>
      </c>
    </row>
    <row r="62" spans="2:20" x14ac:dyDescent="0.25">
      <c r="B62" s="49">
        <v>38</v>
      </c>
      <c r="C62" s="471" t="s">
        <v>96</v>
      </c>
      <c r="D62" s="471"/>
      <c r="E62" s="471"/>
      <c r="F62" s="471"/>
      <c r="G62" s="471"/>
      <c r="H62" s="471"/>
      <c r="I62" s="471"/>
      <c r="J62" s="471"/>
      <c r="K62" s="471"/>
      <c r="L62" s="471"/>
      <c r="M62" s="471"/>
      <c r="N62" s="471"/>
      <c r="O62" s="471"/>
      <c r="P62" s="471"/>
      <c r="Q62" s="471"/>
      <c r="R62" s="125">
        <v>594</v>
      </c>
      <c r="S62" s="132"/>
      <c r="T62" s="48" t="s">
        <v>51</v>
      </c>
    </row>
    <row r="63" spans="2:20" x14ac:dyDescent="0.25">
      <c r="B63" s="49">
        <v>39</v>
      </c>
      <c r="C63" s="471" t="s">
        <v>97</v>
      </c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1"/>
      <c r="R63" s="125">
        <v>592</v>
      </c>
      <c r="S63" s="132"/>
      <c r="T63" s="48" t="s">
        <v>51</v>
      </c>
    </row>
    <row r="64" spans="2:20" x14ac:dyDescent="0.25">
      <c r="B64" s="49">
        <v>40</v>
      </c>
      <c r="C64" s="471" t="s">
        <v>98</v>
      </c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125">
        <v>539</v>
      </c>
      <c r="S64" s="132"/>
      <c r="T64" s="48" t="s">
        <v>51</v>
      </c>
    </row>
    <row r="65" spans="2:20" x14ac:dyDescent="0.25">
      <c r="B65" s="49">
        <v>41</v>
      </c>
      <c r="C65" s="471" t="s">
        <v>99</v>
      </c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1"/>
      <c r="R65" s="125">
        <v>718</v>
      </c>
      <c r="S65" s="132"/>
      <c r="T65" s="48" t="s">
        <v>51</v>
      </c>
    </row>
    <row r="66" spans="2:20" x14ac:dyDescent="0.25">
      <c r="B66" s="49">
        <v>42</v>
      </c>
      <c r="C66" s="471" t="s">
        <v>100</v>
      </c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71"/>
      <c r="O66" s="471"/>
      <c r="P66" s="471"/>
      <c r="Q66" s="471"/>
      <c r="R66" s="125">
        <v>790</v>
      </c>
      <c r="S66" s="132"/>
      <c r="T66" s="48" t="s">
        <v>51</v>
      </c>
    </row>
    <row r="67" spans="2:20" x14ac:dyDescent="0.25">
      <c r="B67" s="49">
        <v>43</v>
      </c>
      <c r="C67" s="471" t="s">
        <v>101</v>
      </c>
      <c r="D67" s="471"/>
      <c r="E67" s="471"/>
      <c r="F67" s="471"/>
      <c r="G67" s="471"/>
      <c r="H67" s="471"/>
      <c r="I67" s="471"/>
      <c r="J67" s="471"/>
      <c r="K67" s="471"/>
      <c r="L67" s="471"/>
      <c r="M67" s="471"/>
      <c r="N67" s="471"/>
      <c r="O67" s="471"/>
      <c r="P67" s="471"/>
      <c r="Q67" s="471"/>
      <c r="R67" s="125">
        <v>164</v>
      </c>
      <c r="S67" s="132"/>
      <c r="T67" s="48" t="s">
        <v>44</v>
      </c>
    </row>
    <row r="68" spans="2:20" x14ac:dyDescent="0.25">
      <c r="B68" s="518" t="s">
        <v>102</v>
      </c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47"/>
    </row>
    <row r="69" spans="2:20" ht="32.25" customHeight="1" x14ac:dyDescent="0.25">
      <c r="B69" s="503"/>
      <c r="C69" s="504"/>
      <c r="D69" s="504"/>
      <c r="E69" s="504"/>
      <c r="F69" s="504"/>
      <c r="G69" s="504"/>
      <c r="H69" s="504"/>
      <c r="I69" s="504"/>
      <c r="J69" s="504" t="s">
        <v>103</v>
      </c>
      <c r="K69" s="504"/>
      <c r="L69" s="504"/>
      <c r="M69" s="504"/>
      <c r="N69" s="504" t="s">
        <v>104</v>
      </c>
      <c r="O69" s="504"/>
      <c r="P69" s="504"/>
      <c r="Q69" s="504"/>
      <c r="R69" s="504"/>
      <c r="S69" s="504"/>
      <c r="T69" s="505"/>
    </row>
    <row r="70" spans="2:20" x14ac:dyDescent="0.25">
      <c r="B70" s="526">
        <v>44</v>
      </c>
      <c r="C70" s="471" t="s">
        <v>105</v>
      </c>
      <c r="D70" s="471"/>
      <c r="E70" s="471"/>
      <c r="F70" s="471"/>
      <c r="G70" s="471"/>
      <c r="H70" s="471"/>
      <c r="I70" s="471"/>
      <c r="J70" s="516">
        <v>730</v>
      </c>
      <c r="K70" s="506"/>
      <c r="L70" s="506"/>
      <c r="M70" s="506"/>
      <c r="N70" s="124" t="s">
        <v>61</v>
      </c>
      <c r="O70" s="125">
        <v>742</v>
      </c>
      <c r="P70" s="506"/>
      <c r="Q70" s="506"/>
      <c r="R70" s="516">
        <v>127</v>
      </c>
      <c r="S70" s="540"/>
      <c r="T70" s="525" t="s">
        <v>44</v>
      </c>
    </row>
    <row r="71" spans="2:20" x14ac:dyDescent="0.25">
      <c r="B71" s="526"/>
      <c r="C71" s="471"/>
      <c r="D71" s="471"/>
      <c r="E71" s="471"/>
      <c r="F71" s="471"/>
      <c r="G71" s="471"/>
      <c r="H71" s="471"/>
      <c r="I71" s="471"/>
      <c r="J71" s="516"/>
      <c r="K71" s="506"/>
      <c r="L71" s="506"/>
      <c r="M71" s="506"/>
      <c r="N71" s="124" t="s">
        <v>62</v>
      </c>
      <c r="O71" s="125">
        <v>743</v>
      </c>
      <c r="P71" s="506"/>
      <c r="Q71" s="506"/>
      <c r="R71" s="516"/>
      <c r="S71" s="540"/>
      <c r="T71" s="525"/>
    </row>
    <row r="72" spans="2:20" x14ac:dyDescent="0.25">
      <c r="B72" s="526">
        <v>45</v>
      </c>
      <c r="C72" s="471" t="s">
        <v>106</v>
      </c>
      <c r="D72" s="471"/>
      <c r="E72" s="471"/>
      <c r="F72" s="471"/>
      <c r="G72" s="471"/>
      <c r="H72" s="471"/>
      <c r="I72" s="471"/>
      <c r="J72" s="516">
        <v>729</v>
      </c>
      <c r="K72" s="506"/>
      <c r="L72" s="506"/>
      <c r="M72" s="506"/>
      <c r="N72" s="124" t="s">
        <v>61</v>
      </c>
      <c r="O72" s="125">
        <v>744</v>
      </c>
      <c r="P72" s="506"/>
      <c r="Q72" s="506"/>
      <c r="R72" s="516">
        <v>544</v>
      </c>
      <c r="S72" s="540"/>
      <c r="T72" s="525" t="s">
        <v>44</v>
      </c>
    </row>
    <row r="73" spans="2:20" x14ac:dyDescent="0.25">
      <c r="B73" s="526"/>
      <c r="C73" s="471"/>
      <c r="D73" s="471"/>
      <c r="E73" s="471"/>
      <c r="F73" s="471"/>
      <c r="G73" s="471"/>
      <c r="H73" s="471"/>
      <c r="I73" s="471"/>
      <c r="J73" s="516"/>
      <c r="K73" s="506"/>
      <c r="L73" s="506"/>
      <c r="M73" s="506"/>
      <c r="N73" s="124" t="s">
        <v>62</v>
      </c>
      <c r="O73" s="125">
        <v>745</v>
      </c>
      <c r="P73" s="506"/>
      <c r="Q73" s="506"/>
      <c r="R73" s="516"/>
      <c r="S73" s="540"/>
      <c r="T73" s="525"/>
    </row>
    <row r="74" spans="2:20" x14ac:dyDescent="0.25">
      <c r="B74" s="49">
        <v>46</v>
      </c>
      <c r="C74" s="471" t="s">
        <v>107</v>
      </c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125">
        <v>523</v>
      </c>
      <c r="S74" s="127"/>
      <c r="T74" s="48" t="s">
        <v>44</v>
      </c>
    </row>
    <row r="75" spans="2:20" x14ac:dyDescent="0.25">
      <c r="B75" s="49">
        <v>47</v>
      </c>
      <c r="C75" s="471" t="s">
        <v>108</v>
      </c>
      <c r="D75" s="471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125">
        <v>712</v>
      </c>
      <c r="S75" s="127"/>
      <c r="T75" s="48" t="s">
        <v>44</v>
      </c>
    </row>
    <row r="76" spans="2:20" x14ac:dyDescent="0.25">
      <c r="B76" s="49">
        <v>48</v>
      </c>
      <c r="C76" s="471" t="s">
        <v>109</v>
      </c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125">
        <v>757</v>
      </c>
      <c r="S76" s="127"/>
      <c r="T76" s="48" t="s">
        <v>44</v>
      </c>
    </row>
    <row r="77" spans="2:20" ht="15.75" thickBot="1" x14ac:dyDescent="0.3">
      <c r="B77" s="10">
        <v>49</v>
      </c>
      <c r="C77" s="470" t="s">
        <v>110</v>
      </c>
      <c r="D77" s="470"/>
      <c r="E77" s="470"/>
      <c r="F77" s="470"/>
      <c r="G77" s="470"/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52">
        <v>537</v>
      </c>
      <c r="S77" s="12">
        <f>+S51+S52+S53+S54+S56-S55+S58+S59+S60+S67-S61-S62-S63-S64-S65+S70+S72+S74+S75+S76-S66</f>
        <v>0</v>
      </c>
      <c r="T77" s="11" t="s">
        <v>65</v>
      </c>
    </row>
    <row r="78" spans="2:20" ht="15.75" thickBot="1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5">
      <c r="B79" s="484" t="s">
        <v>111</v>
      </c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 t="s">
        <v>112</v>
      </c>
      <c r="S79" s="485"/>
      <c r="T79" s="498"/>
    </row>
    <row r="80" spans="2:20" ht="30" customHeight="1" thickBot="1" x14ac:dyDescent="0.3">
      <c r="B80" s="10">
        <v>50</v>
      </c>
      <c r="C80" s="470" t="s">
        <v>113</v>
      </c>
      <c r="D80" s="470"/>
      <c r="E80" s="470"/>
      <c r="F80" s="52">
        <v>77</v>
      </c>
      <c r="G80" s="539">
        <f>IF(S37&gt;S77,0,S77-S37)</f>
        <v>0</v>
      </c>
      <c r="H80" s="539"/>
      <c r="I80" s="52">
        <v>756</v>
      </c>
      <c r="J80" s="470" t="s">
        <v>114</v>
      </c>
      <c r="K80" s="470"/>
      <c r="L80" s="13"/>
      <c r="M80" s="52">
        <v>755</v>
      </c>
      <c r="N80" s="539">
        <f>IF(L80="SI",S37-S77,0)</f>
        <v>0</v>
      </c>
      <c r="O80" s="539"/>
      <c r="P80" s="470" t="s">
        <v>115</v>
      </c>
      <c r="Q80" s="470"/>
      <c r="R80" s="52">
        <v>89</v>
      </c>
      <c r="S80" s="50">
        <f>IF(L80="SI",0,IF(S37&gt;S77,S37-S77,0))</f>
        <v>477679.29089443997</v>
      </c>
      <c r="T80" s="11" t="s">
        <v>44</v>
      </c>
    </row>
    <row r="81" spans="2:20" x14ac:dyDescent="0.25">
      <c r="B81" s="484" t="s">
        <v>116</v>
      </c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  <c r="N81" s="485"/>
      <c r="O81" s="485"/>
      <c r="P81" s="485"/>
      <c r="Q81" s="485"/>
      <c r="R81" s="485" t="s">
        <v>112</v>
      </c>
      <c r="S81" s="485"/>
      <c r="T81" s="498"/>
    </row>
    <row r="82" spans="2:20" ht="39" customHeight="1" thickBot="1" x14ac:dyDescent="0.3">
      <c r="B82" s="49">
        <v>51</v>
      </c>
      <c r="C82" s="471" t="s">
        <v>117</v>
      </c>
      <c r="D82" s="471"/>
      <c r="E82" s="471"/>
      <c r="F82" s="125">
        <v>772</v>
      </c>
      <c r="G82" s="527"/>
      <c r="H82" s="527"/>
      <c r="I82" s="125">
        <v>773</v>
      </c>
      <c r="J82" s="471" t="s">
        <v>118</v>
      </c>
      <c r="K82" s="471"/>
      <c r="L82" s="136"/>
      <c r="M82" s="125">
        <v>774</v>
      </c>
      <c r="N82" s="527"/>
      <c r="O82" s="527"/>
      <c r="P82" s="471" t="s">
        <v>119</v>
      </c>
      <c r="Q82" s="471"/>
      <c r="R82" s="125">
        <v>775</v>
      </c>
      <c r="S82" s="135"/>
      <c r="T82" s="48" t="s">
        <v>44</v>
      </c>
    </row>
    <row r="83" spans="2:20" ht="27" customHeight="1" x14ac:dyDescent="0.25">
      <c r="B83" s="484" t="s">
        <v>116</v>
      </c>
      <c r="C83" s="485"/>
      <c r="D83" s="485"/>
      <c r="E83" s="485"/>
      <c r="F83" s="485"/>
      <c r="G83" s="485"/>
      <c r="H83" s="485"/>
      <c r="I83" s="485"/>
      <c r="J83" s="485"/>
      <c r="K83" s="485"/>
      <c r="L83" s="485"/>
      <c r="M83" s="485"/>
      <c r="N83" s="485"/>
      <c r="O83" s="485"/>
      <c r="P83" s="485"/>
      <c r="Q83" s="485"/>
      <c r="R83" s="485" t="s">
        <v>112</v>
      </c>
      <c r="S83" s="485"/>
      <c r="T83" s="498"/>
    </row>
    <row r="84" spans="2:20" ht="51" customHeight="1" x14ac:dyDescent="0.25">
      <c r="B84" s="49">
        <v>52</v>
      </c>
      <c r="C84" s="471" t="s">
        <v>120</v>
      </c>
      <c r="D84" s="471"/>
      <c r="E84" s="471"/>
      <c r="F84" s="125">
        <v>777</v>
      </c>
      <c r="G84" s="527"/>
      <c r="H84" s="527"/>
      <c r="I84" s="125">
        <v>778</v>
      </c>
      <c r="J84" s="471" t="s">
        <v>121</v>
      </c>
      <c r="K84" s="471"/>
      <c r="L84" s="136"/>
      <c r="M84" s="125">
        <v>779</v>
      </c>
      <c r="N84" s="527"/>
      <c r="O84" s="527"/>
      <c r="P84" s="471" t="s">
        <v>119</v>
      </c>
      <c r="Q84" s="471"/>
      <c r="R84" s="125">
        <v>780</v>
      </c>
      <c r="S84" s="137"/>
      <c r="T84" s="48" t="s">
        <v>44</v>
      </c>
    </row>
    <row r="85" spans="2:20" x14ac:dyDescent="0.25">
      <c r="B85" s="49">
        <v>53</v>
      </c>
      <c r="C85" s="471" t="s">
        <v>122</v>
      </c>
      <c r="D85" s="471"/>
      <c r="E85" s="471"/>
      <c r="F85" s="125">
        <v>782</v>
      </c>
      <c r="G85" s="527"/>
      <c r="H85" s="527"/>
      <c r="I85" s="528" t="s">
        <v>123</v>
      </c>
      <c r="J85" s="529"/>
      <c r="K85" s="529"/>
      <c r="L85" s="529"/>
      <c r="M85" s="529"/>
      <c r="N85" s="529"/>
      <c r="O85" s="529"/>
      <c r="P85" s="529"/>
      <c r="Q85" s="530"/>
      <c r="R85" s="125">
        <v>783</v>
      </c>
      <c r="S85" s="137"/>
      <c r="T85" s="48" t="s">
        <v>44</v>
      </c>
    </row>
    <row r="86" spans="2:20" x14ac:dyDescent="0.25">
      <c r="B86" s="49">
        <v>54</v>
      </c>
      <c r="C86" s="471" t="s">
        <v>124</v>
      </c>
      <c r="D86" s="471"/>
      <c r="E86" s="471"/>
      <c r="F86" s="125">
        <v>784</v>
      </c>
      <c r="G86" s="527"/>
      <c r="H86" s="527"/>
      <c r="I86" s="528" t="s">
        <v>123</v>
      </c>
      <c r="J86" s="529"/>
      <c r="K86" s="529"/>
      <c r="L86" s="529"/>
      <c r="M86" s="529"/>
      <c r="N86" s="529"/>
      <c r="O86" s="529"/>
      <c r="P86" s="529"/>
      <c r="Q86" s="530"/>
      <c r="R86" s="125">
        <v>785</v>
      </c>
      <c r="S86" s="137"/>
      <c r="T86" s="48" t="s">
        <v>44</v>
      </c>
    </row>
    <row r="87" spans="2:20" x14ac:dyDescent="0.25">
      <c r="B87" s="49">
        <v>55</v>
      </c>
      <c r="C87" s="471" t="s">
        <v>125</v>
      </c>
      <c r="D87" s="471"/>
      <c r="E87" s="471"/>
      <c r="F87" s="125">
        <v>786</v>
      </c>
      <c r="G87" s="527"/>
      <c r="H87" s="527"/>
      <c r="I87" s="528" t="s">
        <v>123</v>
      </c>
      <c r="J87" s="529"/>
      <c r="K87" s="529"/>
      <c r="L87" s="529"/>
      <c r="M87" s="529"/>
      <c r="N87" s="529"/>
      <c r="O87" s="529"/>
      <c r="P87" s="529"/>
      <c r="Q87" s="530"/>
      <c r="R87" s="125">
        <v>787</v>
      </c>
      <c r="S87" s="137"/>
      <c r="T87" s="48" t="s">
        <v>44</v>
      </c>
    </row>
    <row r="88" spans="2:20" ht="15.75" thickBot="1" x14ac:dyDescent="0.3">
      <c r="B88" s="14">
        <v>56</v>
      </c>
      <c r="C88" s="472" t="s">
        <v>126</v>
      </c>
      <c r="D88" s="472"/>
      <c r="E88" s="472"/>
      <c r="F88" s="15">
        <v>788</v>
      </c>
      <c r="G88" s="531"/>
      <c r="H88" s="531"/>
      <c r="I88" s="532" t="s">
        <v>123</v>
      </c>
      <c r="J88" s="533"/>
      <c r="K88" s="533"/>
      <c r="L88" s="533"/>
      <c r="M88" s="533"/>
      <c r="N88" s="533"/>
      <c r="O88" s="533"/>
      <c r="P88" s="533"/>
      <c r="Q88" s="534"/>
      <c r="R88" s="15">
        <v>789</v>
      </c>
      <c r="S88" s="16"/>
      <c r="T88" s="17" t="s">
        <v>44</v>
      </c>
    </row>
    <row r="89" spans="2:20" ht="15.75" thickBot="1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0" x14ac:dyDescent="0.25">
      <c r="B90" s="18">
        <v>57</v>
      </c>
      <c r="C90" s="473" t="s">
        <v>127</v>
      </c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8">
        <v>760</v>
      </c>
      <c r="S90" s="19"/>
      <c r="T90" s="20" t="s">
        <v>44</v>
      </c>
    </row>
    <row r="91" spans="2:20" ht="15.75" thickBot="1" x14ac:dyDescent="0.3">
      <c r="B91" s="14">
        <v>58</v>
      </c>
      <c r="C91" s="472" t="s">
        <v>128</v>
      </c>
      <c r="D91" s="472"/>
      <c r="E91" s="472"/>
      <c r="F91" s="472"/>
      <c r="G91" s="472"/>
      <c r="H91" s="472"/>
      <c r="I91" s="472"/>
      <c r="J91" s="472"/>
      <c r="K91" s="472"/>
      <c r="L91" s="472"/>
      <c r="M91" s="472"/>
      <c r="N91" s="472"/>
      <c r="O91" s="472"/>
      <c r="P91" s="472"/>
      <c r="Q91" s="472"/>
      <c r="R91" s="15">
        <v>767</v>
      </c>
      <c r="S91" s="21"/>
      <c r="T91" s="17" t="s">
        <v>44</v>
      </c>
    </row>
    <row r="92" spans="2:20" ht="15.75" thickBot="1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2:20" x14ac:dyDescent="0.25">
      <c r="B93" s="484" t="s">
        <v>129</v>
      </c>
      <c r="C93" s="485"/>
      <c r="D93" s="485"/>
      <c r="E93" s="485"/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P93" s="485"/>
      <c r="Q93" s="485"/>
      <c r="R93" s="485"/>
      <c r="S93" s="485"/>
      <c r="T93" s="46"/>
    </row>
    <row r="94" spans="2:20" x14ac:dyDescent="0.25">
      <c r="B94" s="518" t="s">
        <v>130</v>
      </c>
      <c r="C94" s="519"/>
      <c r="D94" s="519"/>
      <c r="E94" s="519"/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47"/>
    </row>
    <row r="95" spans="2:20" x14ac:dyDescent="0.25">
      <c r="B95" s="49">
        <v>59</v>
      </c>
      <c r="C95" s="471" t="s">
        <v>131</v>
      </c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125">
        <v>50</v>
      </c>
      <c r="S95" s="127"/>
      <c r="T95" s="48" t="s">
        <v>44</v>
      </c>
    </row>
    <row r="96" spans="2:20" x14ac:dyDescent="0.25">
      <c r="B96" s="526">
        <v>60</v>
      </c>
      <c r="C96" s="471" t="s">
        <v>132</v>
      </c>
      <c r="D96" s="471"/>
      <c r="E96" s="471"/>
      <c r="F96" s="471"/>
      <c r="G96" s="471" t="s">
        <v>133</v>
      </c>
      <c r="H96" s="471"/>
      <c r="I96" s="516">
        <v>751</v>
      </c>
      <c r="J96" s="471" t="s">
        <v>134</v>
      </c>
      <c r="K96" s="471"/>
      <c r="L96" s="471"/>
      <c r="M96" s="516">
        <v>735</v>
      </c>
      <c r="N96" s="471" t="s">
        <v>135</v>
      </c>
      <c r="O96" s="471"/>
      <c r="P96" s="471" t="s">
        <v>136</v>
      </c>
      <c r="Q96" s="471"/>
      <c r="R96" s="516">
        <v>48</v>
      </c>
      <c r="S96" s="524"/>
      <c r="T96" s="525" t="s">
        <v>44</v>
      </c>
    </row>
    <row r="97" spans="2:20" x14ac:dyDescent="0.25">
      <c r="B97" s="526"/>
      <c r="C97" s="471"/>
      <c r="D97" s="471"/>
      <c r="E97" s="471"/>
      <c r="F97" s="471"/>
      <c r="G97" s="471"/>
      <c r="H97" s="471"/>
      <c r="I97" s="516"/>
      <c r="J97" s="506"/>
      <c r="K97" s="506"/>
      <c r="L97" s="506"/>
      <c r="M97" s="516"/>
      <c r="N97" s="506"/>
      <c r="O97" s="506"/>
      <c r="P97" s="471"/>
      <c r="Q97" s="471"/>
      <c r="R97" s="516"/>
      <c r="S97" s="524"/>
      <c r="T97" s="525"/>
    </row>
    <row r="98" spans="2:20" x14ac:dyDescent="0.25">
      <c r="B98" s="49">
        <v>61</v>
      </c>
      <c r="C98" s="471" t="s">
        <v>498</v>
      </c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125">
        <v>151</v>
      </c>
      <c r="S98" s="132"/>
      <c r="T98" s="48" t="s">
        <v>44</v>
      </c>
    </row>
    <row r="99" spans="2:20" x14ac:dyDescent="0.25">
      <c r="B99" s="49">
        <v>62</v>
      </c>
      <c r="C99" s="471" t="s">
        <v>137</v>
      </c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125">
        <v>153</v>
      </c>
      <c r="S99" s="132"/>
      <c r="T99" s="48" t="s">
        <v>44</v>
      </c>
    </row>
    <row r="100" spans="2:20" ht="15" customHeight="1" x14ac:dyDescent="0.25">
      <c r="B100" s="49"/>
      <c r="C100" s="545" t="s">
        <v>475</v>
      </c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7"/>
      <c r="R100" s="188">
        <v>49</v>
      </c>
      <c r="S100" s="189"/>
      <c r="T100" s="48"/>
    </row>
    <row r="101" spans="2:20" x14ac:dyDescent="0.25">
      <c r="B101" s="49"/>
      <c r="C101" s="545" t="s">
        <v>476</v>
      </c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6"/>
      <c r="Q101" s="547"/>
      <c r="R101" s="188">
        <v>155</v>
      </c>
      <c r="S101" s="189"/>
      <c r="T101" s="48"/>
    </row>
    <row r="102" spans="2:20" x14ac:dyDescent="0.25">
      <c r="B102" s="49">
        <v>63</v>
      </c>
      <c r="C102" s="471" t="s">
        <v>138</v>
      </c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125">
        <v>54</v>
      </c>
      <c r="S102" s="132"/>
      <c r="T102" s="48" t="s">
        <v>44</v>
      </c>
    </row>
    <row r="103" spans="2:20" x14ac:dyDescent="0.25">
      <c r="B103" s="49">
        <v>64</v>
      </c>
      <c r="C103" s="471" t="s">
        <v>139</v>
      </c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125">
        <v>56</v>
      </c>
      <c r="S103" s="132"/>
      <c r="T103" s="48" t="s">
        <v>44</v>
      </c>
    </row>
    <row r="104" spans="2:20" x14ac:dyDescent="0.25">
      <c r="B104" s="49">
        <v>65</v>
      </c>
      <c r="C104" s="471" t="s">
        <v>140</v>
      </c>
      <c r="D104" s="471"/>
      <c r="E104" s="471"/>
      <c r="F104" s="471"/>
      <c r="G104" s="471"/>
      <c r="H104" s="471"/>
      <c r="I104" s="471"/>
      <c r="J104" s="471"/>
      <c r="K104" s="471"/>
      <c r="L104" s="471"/>
      <c r="M104" s="471"/>
      <c r="N104" s="471"/>
      <c r="O104" s="471"/>
      <c r="P104" s="471"/>
      <c r="Q104" s="471"/>
      <c r="R104" s="125">
        <v>588</v>
      </c>
      <c r="S104" s="132"/>
      <c r="T104" s="48" t="s">
        <v>44</v>
      </c>
    </row>
    <row r="105" spans="2:20" x14ac:dyDescent="0.25">
      <c r="B105" s="49">
        <v>66</v>
      </c>
      <c r="C105" s="471" t="s">
        <v>141</v>
      </c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125">
        <v>589</v>
      </c>
      <c r="S105" s="132"/>
      <c r="T105" s="48" t="s">
        <v>44</v>
      </c>
    </row>
    <row r="106" spans="2:20" x14ac:dyDescent="0.25">
      <c r="B106" s="518" t="s">
        <v>142</v>
      </c>
      <c r="C106" s="519"/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47"/>
    </row>
    <row r="107" spans="2:20" ht="30" customHeight="1" x14ac:dyDescent="0.25">
      <c r="B107" s="49"/>
      <c r="C107" s="125"/>
      <c r="D107" s="516" t="s">
        <v>143</v>
      </c>
      <c r="E107" s="516"/>
      <c r="F107" s="516"/>
      <c r="G107" s="516" t="s">
        <v>144</v>
      </c>
      <c r="H107" s="516"/>
      <c r="I107" s="516" t="s">
        <v>145</v>
      </c>
      <c r="J107" s="516"/>
      <c r="K107" s="516"/>
      <c r="L107" s="516"/>
      <c r="M107" s="516" t="s">
        <v>146</v>
      </c>
      <c r="N107" s="516"/>
      <c r="O107" s="516" t="s">
        <v>147</v>
      </c>
      <c r="P107" s="516"/>
      <c r="Q107" s="516"/>
      <c r="R107" s="516" t="s">
        <v>148</v>
      </c>
      <c r="S107" s="516"/>
      <c r="T107" s="517"/>
    </row>
    <row r="108" spans="2:20" ht="30" x14ac:dyDescent="0.25">
      <c r="B108" s="49">
        <v>67</v>
      </c>
      <c r="C108" s="138" t="s">
        <v>149</v>
      </c>
      <c r="D108" s="516">
        <v>750</v>
      </c>
      <c r="E108" s="516"/>
      <c r="F108" s="139"/>
      <c r="G108" s="125">
        <v>30</v>
      </c>
      <c r="H108" s="129">
        <v>0</v>
      </c>
      <c r="I108" s="125">
        <v>563</v>
      </c>
      <c r="J108" s="585"/>
      <c r="K108" s="585"/>
      <c r="L108" s="585"/>
      <c r="M108" s="125">
        <v>115</v>
      </c>
      <c r="N108" s="128"/>
      <c r="O108" s="125">
        <v>68</v>
      </c>
      <c r="P108" s="506"/>
      <c r="Q108" s="506"/>
      <c r="R108" s="125">
        <v>62</v>
      </c>
      <c r="S108" s="134">
        <f>IF(F108="SI",0,ROUND(J108*N108%,0))</f>
        <v>0</v>
      </c>
      <c r="T108" s="48" t="s">
        <v>44</v>
      </c>
    </row>
    <row r="109" spans="2:20" x14ac:dyDescent="0.25">
      <c r="B109" s="49">
        <v>68</v>
      </c>
      <c r="C109" s="471" t="s">
        <v>150</v>
      </c>
      <c r="D109" s="471"/>
      <c r="E109" s="471"/>
      <c r="F109" s="471"/>
      <c r="G109" s="125">
        <v>565</v>
      </c>
      <c r="H109" s="126"/>
      <c r="I109" s="125">
        <v>120</v>
      </c>
      <c r="J109" s="506"/>
      <c r="K109" s="506"/>
      <c r="L109" s="506"/>
      <c r="M109" s="125">
        <v>542</v>
      </c>
      <c r="N109" s="126"/>
      <c r="O109" s="125">
        <v>122</v>
      </c>
      <c r="P109" s="506"/>
      <c r="Q109" s="506"/>
      <c r="R109" s="125">
        <v>123</v>
      </c>
      <c r="S109" s="134"/>
      <c r="T109" s="48" t="s">
        <v>44</v>
      </c>
    </row>
    <row r="110" spans="2:20" x14ac:dyDescent="0.25">
      <c r="B110" s="49">
        <v>69</v>
      </c>
      <c r="C110" s="471" t="s">
        <v>151</v>
      </c>
      <c r="D110" s="471"/>
      <c r="E110" s="471"/>
      <c r="F110" s="471"/>
      <c r="G110" s="125">
        <v>700</v>
      </c>
      <c r="H110" s="126"/>
      <c r="I110" s="125">
        <v>701</v>
      </c>
      <c r="J110" s="506"/>
      <c r="K110" s="506"/>
      <c r="L110" s="506"/>
      <c r="M110" s="125">
        <v>702</v>
      </c>
      <c r="N110" s="126"/>
      <c r="O110" s="125">
        <v>711</v>
      </c>
      <c r="P110" s="506"/>
      <c r="Q110" s="506"/>
      <c r="R110" s="125">
        <v>703</v>
      </c>
      <c r="S110" s="134"/>
      <c r="T110" s="48" t="s">
        <v>44</v>
      </c>
    </row>
    <row r="111" spans="2:20" x14ac:dyDescent="0.25">
      <c r="B111" s="49">
        <v>70</v>
      </c>
      <c r="C111" s="471" t="s">
        <v>152</v>
      </c>
      <c r="D111" s="471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125">
        <v>66</v>
      </c>
      <c r="S111" s="127"/>
      <c r="T111" s="48" t="s">
        <v>44</v>
      </c>
    </row>
    <row r="112" spans="2:20" x14ac:dyDescent="0.25">
      <c r="B112" s="474">
        <v>71</v>
      </c>
      <c r="C112" s="510" t="s">
        <v>153</v>
      </c>
      <c r="D112" s="511"/>
      <c r="E112" s="511"/>
      <c r="F112" s="512"/>
      <c r="G112" s="516" t="s">
        <v>154</v>
      </c>
      <c r="H112" s="516"/>
      <c r="I112" s="516" t="s">
        <v>155</v>
      </c>
      <c r="J112" s="516"/>
      <c r="K112" s="516"/>
      <c r="L112" s="516"/>
      <c r="M112" s="516" t="s">
        <v>156</v>
      </c>
      <c r="N112" s="516"/>
      <c r="O112" s="516"/>
      <c r="P112" s="516"/>
      <c r="Q112" s="516"/>
      <c r="R112" s="516"/>
      <c r="S112" s="516"/>
      <c r="T112" s="517"/>
    </row>
    <row r="113" spans="2:20" x14ac:dyDescent="0.25">
      <c r="B113" s="475"/>
      <c r="C113" s="513"/>
      <c r="D113" s="514"/>
      <c r="E113" s="514"/>
      <c r="F113" s="515"/>
      <c r="G113" s="125">
        <v>721</v>
      </c>
      <c r="H113" s="126"/>
      <c r="I113" s="125">
        <v>722</v>
      </c>
      <c r="J113" s="506"/>
      <c r="K113" s="506"/>
      <c r="L113" s="506"/>
      <c r="M113" s="125">
        <v>724</v>
      </c>
      <c r="N113" s="509"/>
      <c r="O113" s="509"/>
      <c r="P113" s="471" t="s">
        <v>157</v>
      </c>
      <c r="Q113" s="471"/>
      <c r="R113" s="125">
        <v>723</v>
      </c>
      <c r="S113" s="134"/>
      <c r="T113" s="48" t="s">
        <v>51</v>
      </c>
    </row>
    <row r="114" spans="2:20" x14ac:dyDescent="0.25">
      <c r="B114" s="49">
        <v>72</v>
      </c>
      <c r="C114" s="471" t="s">
        <v>158</v>
      </c>
      <c r="D114" s="471"/>
      <c r="E114" s="471"/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P114" s="471"/>
      <c r="Q114" s="471"/>
      <c r="R114" s="125">
        <v>152</v>
      </c>
      <c r="S114" s="127"/>
      <c r="T114" s="48" t="s">
        <v>44</v>
      </c>
    </row>
    <row r="115" spans="2:20" x14ac:dyDescent="0.25">
      <c r="B115" s="49">
        <v>73</v>
      </c>
      <c r="C115" s="471" t="s">
        <v>159</v>
      </c>
      <c r="D115" s="471"/>
      <c r="E115" s="471"/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P115" s="471"/>
      <c r="Q115" s="471"/>
      <c r="R115" s="125">
        <v>70</v>
      </c>
      <c r="S115" s="127"/>
      <c r="T115" s="48" t="s">
        <v>44</v>
      </c>
    </row>
    <row r="116" spans="2:20" ht="15.75" thickBot="1" x14ac:dyDescent="0.3">
      <c r="B116" s="14">
        <v>74</v>
      </c>
      <c r="C116" s="472" t="s">
        <v>160</v>
      </c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15">
        <v>766</v>
      </c>
      <c r="S116" s="21"/>
      <c r="T116" s="17"/>
    </row>
    <row r="117" spans="2:20" ht="15.75" thickBot="1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2:20" ht="15.75" thickBot="1" x14ac:dyDescent="0.3">
      <c r="B118" s="22">
        <v>75</v>
      </c>
      <c r="C118" s="483" t="s">
        <v>161</v>
      </c>
      <c r="D118" s="483"/>
      <c r="E118" s="483"/>
      <c r="F118" s="483"/>
      <c r="G118" s="483"/>
      <c r="H118" s="483"/>
      <c r="I118" s="483"/>
      <c r="J118" s="483"/>
      <c r="K118" s="483"/>
      <c r="L118" s="483"/>
      <c r="M118" s="483"/>
      <c r="N118" s="483"/>
      <c r="O118" s="483"/>
      <c r="P118" s="483"/>
      <c r="Q118" s="483"/>
      <c r="R118" s="23">
        <v>595</v>
      </c>
      <c r="S118" s="24">
        <f>SUM(S80,S95:S105,S108:S111)</f>
        <v>477679.29089443997</v>
      </c>
      <c r="T118" s="25" t="s">
        <v>65</v>
      </c>
    </row>
    <row r="119" spans="2:20" ht="15.75" thickBot="1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2:20" x14ac:dyDescent="0.25">
      <c r="B120" s="484" t="s">
        <v>162</v>
      </c>
      <c r="C120" s="485"/>
      <c r="D120" s="485"/>
      <c r="E120" s="485"/>
      <c r="F120" s="485"/>
      <c r="G120" s="485"/>
      <c r="H120" s="485"/>
      <c r="I120" s="485"/>
      <c r="J120" s="485"/>
      <c r="K120" s="485"/>
      <c r="L120" s="485"/>
      <c r="M120" s="485"/>
      <c r="N120" s="485"/>
      <c r="O120" s="485"/>
      <c r="P120" s="485"/>
      <c r="Q120" s="485"/>
      <c r="R120" s="485"/>
      <c r="S120" s="485"/>
      <c r="T120" s="46"/>
    </row>
    <row r="121" spans="2:20" x14ac:dyDescent="0.25">
      <c r="B121" s="503"/>
      <c r="C121" s="504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 t="s">
        <v>112</v>
      </c>
      <c r="S121" s="504"/>
      <c r="T121" s="505"/>
    </row>
    <row r="122" spans="2:20" x14ac:dyDescent="0.25">
      <c r="B122" s="49">
        <v>76</v>
      </c>
      <c r="C122" s="471" t="s">
        <v>163</v>
      </c>
      <c r="D122" s="471"/>
      <c r="E122" s="471"/>
      <c r="F122" s="471"/>
      <c r="G122" s="471"/>
      <c r="H122" s="471"/>
      <c r="I122" s="471"/>
      <c r="J122" s="471"/>
      <c r="K122" s="471"/>
      <c r="L122" s="471"/>
      <c r="M122" s="471"/>
      <c r="N122" s="471"/>
      <c r="O122" s="471"/>
      <c r="P122" s="471"/>
      <c r="Q122" s="471"/>
      <c r="R122" s="125">
        <v>529</v>
      </c>
      <c r="S122" s="127"/>
      <c r="T122" s="48"/>
    </row>
    <row r="123" spans="2:20" x14ac:dyDescent="0.25">
      <c r="B123" s="49">
        <v>77</v>
      </c>
      <c r="C123" s="471" t="s">
        <v>164</v>
      </c>
      <c r="D123" s="471"/>
      <c r="E123" s="471"/>
      <c r="F123" s="471"/>
      <c r="G123" s="471"/>
      <c r="H123" s="471"/>
      <c r="I123" s="471"/>
      <c r="J123" s="471"/>
      <c r="K123" s="471"/>
      <c r="L123" s="471"/>
      <c r="M123" s="471"/>
      <c r="N123" s="471"/>
      <c r="O123" s="471"/>
      <c r="P123" s="471"/>
      <c r="Q123" s="471"/>
      <c r="R123" s="125">
        <v>530</v>
      </c>
      <c r="S123" s="127"/>
      <c r="T123" s="48"/>
    </row>
    <row r="124" spans="2:20" ht="15.75" thickBot="1" x14ac:dyDescent="0.3">
      <c r="B124" s="10">
        <v>78</v>
      </c>
      <c r="C124" s="470" t="s">
        <v>165</v>
      </c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52">
        <v>409</v>
      </c>
      <c r="S124" s="26"/>
      <c r="T124" s="11" t="s">
        <v>44</v>
      </c>
    </row>
    <row r="125" spans="2:20" ht="15.75" thickBot="1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2:20" x14ac:dyDescent="0.25">
      <c r="B126" s="484" t="s">
        <v>166</v>
      </c>
      <c r="C126" s="485"/>
      <c r="D126" s="485"/>
      <c r="E126" s="485"/>
      <c r="F126" s="485"/>
      <c r="G126" s="485"/>
      <c r="H126" s="485"/>
      <c r="I126" s="485"/>
      <c r="J126" s="485"/>
      <c r="K126" s="485"/>
      <c r="L126" s="485"/>
      <c r="M126" s="485"/>
      <c r="N126" s="485"/>
      <c r="O126" s="485"/>
      <c r="P126" s="485"/>
      <c r="Q126" s="485"/>
      <c r="R126" s="485"/>
      <c r="S126" s="485"/>
      <c r="T126" s="46"/>
    </row>
    <row r="127" spans="2:20" x14ac:dyDescent="0.25">
      <c r="B127" s="49">
        <v>79</v>
      </c>
      <c r="C127" s="471" t="s">
        <v>167</v>
      </c>
      <c r="D127" s="471"/>
      <c r="E127" s="471"/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P127" s="471"/>
      <c r="Q127" s="471"/>
      <c r="R127" s="125">
        <v>522</v>
      </c>
      <c r="S127" s="127"/>
      <c r="T127" s="48" t="s">
        <v>44</v>
      </c>
    </row>
    <row r="128" spans="2:20" x14ac:dyDescent="0.25">
      <c r="B128" s="49">
        <v>80</v>
      </c>
      <c r="C128" s="471" t="s">
        <v>168</v>
      </c>
      <c r="D128" s="471"/>
      <c r="E128" s="471"/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P128" s="471"/>
      <c r="Q128" s="471"/>
      <c r="R128" s="125">
        <v>526</v>
      </c>
      <c r="S128" s="127"/>
      <c r="T128" s="48" t="s">
        <v>44</v>
      </c>
    </row>
    <row r="129" spans="2:20" x14ac:dyDescent="0.25">
      <c r="B129" s="49">
        <v>81</v>
      </c>
      <c r="C129" s="471" t="s">
        <v>169</v>
      </c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125">
        <v>113</v>
      </c>
      <c r="S129" s="127"/>
      <c r="T129" s="48" t="s">
        <v>44</v>
      </c>
    </row>
    <row r="130" spans="2:20" x14ac:dyDescent="0.25">
      <c r="B130" s="49">
        <v>82</v>
      </c>
      <c r="C130" s="471" t="s">
        <v>170</v>
      </c>
      <c r="D130" s="471"/>
      <c r="E130" s="471"/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P130" s="471"/>
      <c r="Q130" s="471"/>
      <c r="R130" s="125">
        <v>28</v>
      </c>
      <c r="S130" s="127"/>
      <c r="T130" s="48" t="s">
        <v>51</v>
      </c>
    </row>
    <row r="131" spans="2:20" x14ac:dyDescent="0.25">
      <c r="B131" s="49">
        <v>83</v>
      </c>
      <c r="C131" s="471" t="s">
        <v>171</v>
      </c>
      <c r="D131" s="471"/>
      <c r="E131" s="471"/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P131" s="471"/>
      <c r="Q131" s="471"/>
      <c r="R131" s="125">
        <v>548</v>
      </c>
      <c r="S131" s="127"/>
      <c r="T131" s="48" t="s">
        <v>51</v>
      </c>
    </row>
    <row r="132" spans="2:20" x14ac:dyDescent="0.25">
      <c r="B132" s="49">
        <v>84</v>
      </c>
      <c r="C132" s="471" t="s">
        <v>172</v>
      </c>
      <c r="D132" s="471"/>
      <c r="E132" s="471"/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P132" s="471"/>
      <c r="Q132" s="471"/>
      <c r="R132" s="125">
        <v>540</v>
      </c>
      <c r="S132" s="127"/>
      <c r="T132" s="48" t="s">
        <v>51</v>
      </c>
    </row>
    <row r="133" spans="2:20" x14ac:dyDescent="0.25">
      <c r="B133" s="49">
        <v>85</v>
      </c>
      <c r="C133" s="471" t="s">
        <v>173</v>
      </c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P133" s="471"/>
      <c r="Q133" s="471"/>
      <c r="R133" s="125">
        <v>541</v>
      </c>
      <c r="S133" s="127"/>
      <c r="T133" s="48" t="s">
        <v>44</v>
      </c>
    </row>
    <row r="134" spans="2:20" ht="15.75" thickBot="1" x14ac:dyDescent="0.3">
      <c r="B134" s="49">
        <v>86</v>
      </c>
      <c r="C134" s="470" t="s">
        <v>174</v>
      </c>
      <c r="D134" s="470"/>
      <c r="E134" s="470"/>
      <c r="F134" s="470"/>
      <c r="G134" s="470"/>
      <c r="H134" s="470"/>
      <c r="I134" s="52">
        <v>549</v>
      </c>
      <c r="J134" s="507">
        <f>IF(S127+S128+S129+S133-S130-S131-S132&lt;0,-(S127+S128+S129+S133-S130-S131-S132),0)</f>
        <v>0</v>
      </c>
      <c r="K134" s="507"/>
      <c r="L134" s="507"/>
      <c r="M134" s="470" t="s">
        <v>175</v>
      </c>
      <c r="N134" s="470"/>
      <c r="O134" s="470"/>
      <c r="P134" s="470"/>
      <c r="Q134" s="470"/>
      <c r="R134" s="52">
        <v>550</v>
      </c>
      <c r="S134" s="27">
        <f>IF(S127+S128+S129+S133-S130-S131-S132&gt;0,S127+S128+S129+S133-S130-S131-S132,0)</f>
        <v>0</v>
      </c>
      <c r="T134" s="11" t="s">
        <v>44</v>
      </c>
    </row>
    <row r="135" spans="2:20" ht="15.75" thickBot="1" x14ac:dyDescent="0.3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2:20" x14ac:dyDescent="0.25">
      <c r="B136" s="484" t="s">
        <v>176</v>
      </c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  <c r="N136" s="485"/>
      <c r="O136" s="485"/>
      <c r="P136" s="485"/>
      <c r="Q136" s="485"/>
      <c r="R136" s="485"/>
      <c r="S136" s="485"/>
      <c r="T136" s="46"/>
    </row>
    <row r="137" spans="2:20" x14ac:dyDescent="0.25">
      <c r="B137" s="503"/>
      <c r="C137" s="504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 t="s">
        <v>177</v>
      </c>
      <c r="S137" s="504"/>
      <c r="T137" s="505"/>
    </row>
    <row r="138" spans="2:20" x14ac:dyDescent="0.25">
      <c r="B138" s="49">
        <v>87</v>
      </c>
      <c r="C138" s="471" t="s">
        <v>178</v>
      </c>
      <c r="D138" s="471"/>
      <c r="E138" s="471"/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P138" s="471"/>
      <c r="Q138" s="471"/>
      <c r="R138" s="125">
        <v>577</v>
      </c>
      <c r="S138" s="127"/>
      <c r="T138" s="48" t="s">
        <v>44</v>
      </c>
    </row>
    <row r="139" spans="2:20" x14ac:dyDescent="0.25">
      <c r="B139" s="49">
        <v>88</v>
      </c>
      <c r="C139" s="471" t="s">
        <v>179</v>
      </c>
      <c r="D139" s="471"/>
      <c r="E139" s="471"/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P139" s="471"/>
      <c r="Q139" s="471"/>
      <c r="R139" s="125">
        <v>32</v>
      </c>
      <c r="S139" s="127"/>
      <c r="T139" s="48" t="s">
        <v>44</v>
      </c>
    </row>
    <row r="140" spans="2:20" x14ac:dyDescent="0.25">
      <c r="B140" s="49">
        <v>89</v>
      </c>
      <c r="C140" s="471" t="s">
        <v>180</v>
      </c>
      <c r="D140" s="471"/>
      <c r="E140" s="471"/>
      <c r="F140" s="471"/>
      <c r="G140" s="471"/>
      <c r="H140" s="471"/>
      <c r="I140" s="471"/>
      <c r="J140" s="471"/>
      <c r="K140" s="471"/>
      <c r="L140" s="471"/>
      <c r="M140" s="471"/>
      <c r="N140" s="471"/>
      <c r="O140" s="471"/>
      <c r="P140" s="471"/>
      <c r="Q140" s="471"/>
      <c r="R140" s="125">
        <v>150</v>
      </c>
      <c r="S140" s="127"/>
      <c r="T140" s="48" t="s">
        <v>44</v>
      </c>
    </row>
    <row r="141" spans="2:20" x14ac:dyDescent="0.25">
      <c r="B141" s="49">
        <v>90</v>
      </c>
      <c r="C141" s="471" t="s">
        <v>181</v>
      </c>
      <c r="D141" s="471"/>
      <c r="E141" s="471"/>
      <c r="F141" s="471"/>
      <c r="G141" s="471"/>
      <c r="H141" s="471"/>
      <c r="I141" s="471"/>
      <c r="J141" s="471"/>
      <c r="K141" s="471"/>
      <c r="L141" s="471"/>
      <c r="M141" s="471"/>
      <c r="N141" s="471"/>
      <c r="O141" s="471"/>
      <c r="P141" s="471"/>
      <c r="Q141" s="471"/>
      <c r="R141" s="125">
        <v>146</v>
      </c>
      <c r="S141" s="127"/>
      <c r="T141" s="48" t="s">
        <v>44</v>
      </c>
    </row>
    <row r="142" spans="2:20" x14ac:dyDescent="0.25">
      <c r="B142" s="49">
        <v>91</v>
      </c>
      <c r="C142" s="471" t="s">
        <v>182</v>
      </c>
      <c r="D142" s="471"/>
      <c r="E142" s="471"/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P142" s="471"/>
      <c r="Q142" s="471"/>
      <c r="R142" s="125">
        <v>752</v>
      </c>
      <c r="S142" s="127"/>
      <c r="T142" s="48" t="s">
        <v>44</v>
      </c>
    </row>
    <row r="143" spans="2:20" x14ac:dyDescent="0.25">
      <c r="B143" s="49">
        <v>92</v>
      </c>
      <c r="C143" s="471" t="s">
        <v>183</v>
      </c>
      <c r="D143" s="471"/>
      <c r="E143" s="471"/>
      <c r="F143" s="471"/>
      <c r="G143" s="471"/>
      <c r="H143" s="471"/>
      <c r="I143" s="471"/>
      <c r="J143" s="471"/>
      <c r="K143" s="471"/>
      <c r="L143" s="471"/>
      <c r="M143" s="471"/>
      <c r="N143" s="471"/>
      <c r="O143" s="471"/>
      <c r="P143" s="471"/>
      <c r="Q143" s="471"/>
      <c r="R143" s="125">
        <v>545</v>
      </c>
      <c r="S143" s="127"/>
      <c r="T143" s="48" t="s">
        <v>44</v>
      </c>
    </row>
    <row r="144" spans="2:20" x14ac:dyDescent="0.25">
      <c r="B144" s="49">
        <v>93</v>
      </c>
      <c r="C144" s="471" t="s">
        <v>184</v>
      </c>
      <c r="D144" s="471"/>
      <c r="E144" s="471"/>
      <c r="F144" s="471"/>
      <c r="G144" s="471"/>
      <c r="H144" s="471"/>
      <c r="I144" s="471"/>
      <c r="J144" s="471"/>
      <c r="K144" s="471"/>
      <c r="L144" s="471"/>
      <c r="M144" s="471"/>
      <c r="N144" s="471"/>
      <c r="O144" s="471"/>
      <c r="P144" s="471"/>
      <c r="Q144" s="471"/>
      <c r="R144" s="125">
        <v>546</v>
      </c>
      <c r="S144" s="127"/>
      <c r="T144" s="48" t="s">
        <v>51</v>
      </c>
    </row>
    <row r="145" spans="2:20" x14ac:dyDescent="0.25">
      <c r="B145" s="49">
        <v>94</v>
      </c>
      <c r="C145" s="471" t="s">
        <v>52</v>
      </c>
      <c r="D145" s="471"/>
      <c r="E145" s="471"/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P145" s="471"/>
      <c r="Q145" s="471"/>
      <c r="R145" s="125">
        <v>710</v>
      </c>
      <c r="S145" s="127"/>
      <c r="T145" s="48" t="s">
        <v>51</v>
      </c>
    </row>
    <row r="146" spans="2:20" x14ac:dyDescent="0.25">
      <c r="B146" s="49">
        <v>95</v>
      </c>
      <c r="C146" s="471" t="s">
        <v>185</v>
      </c>
      <c r="D146" s="471"/>
      <c r="E146" s="471"/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P146" s="471"/>
      <c r="Q146" s="471"/>
      <c r="R146" s="125">
        <v>602</v>
      </c>
      <c r="S146" s="134">
        <f>+S138+S139+S140+S141+S142+S143-S144-S145</f>
        <v>0</v>
      </c>
      <c r="T146" s="48" t="s">
        <v>65</v>
      </c>
    </row>
    <row r="147" spans="2:20" ht="36.75" customHeight="1" x14ac:dyDescent="0.25">
      <c r="B147" s="503"/>
      <c r="C147" s="504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 t="s">
        <v>186</v>
      </c>
      <c r="N147" s="504"/>
      <c r="O147" s="504"/>
      <c r="P147" s="504"/>
      <c r="Q147" s="504"/>
      <c r="R147" s="504" t="s">
        <v>187</v>
      </c>
      <c r="S147" s="504"/>
      <c r="T147" s="505"/>
    </row>
    <row r="148" spans="2:20" x14ac:dyDescent="0.25">
      <c r="B148" s="49">
        <v>96</v>
      </c>
      <c r="C148" s="471" t="s">
        <v>178</v>
      </c>
      <c r="D148" s="471"/>
      <c r="E148" s="471"/>
      <c r="F148" s="471"/>
      <c r="G148" s="471"/>
      <c r="H148" s="471"/>
      <c r="I148" s="471"/>
      <c r="J148" s="471"/>
      <c r="K148" s="471"/>
      <c r="L148" s="471"/>
      <c r="M148" s="125">
        <v>575</v>
      </c>
      <c r="N148" s="506"/>
      <c r="O148" s="506"/>
      <c r="P148" s="506"/>
      <c r="Q148" s="140" t="s">
        <v>44</v>
      </c>
      <c r="R148" s="125">
        <v>576</v>
      </c>
      <c r="S148" s="127"/>
      <c r="T148" s="48" t="s">
        <v>44</v>
      </c>
    </row>
    <row r="149" spans="2:20" x14ac:dyDescent="0.25">
      <c r="B149" s="49">
        <v>97</v>
      </c>
      <c r="C149" s="471" t="s">
        <v>179</v>
      </c>
      <c r="D149" s="471"/>
      <c r="E149" s="471"/>
      <c r="F149" s="471"/>
      <c r="G149" s="471"/>
      <c r="H149" s="471"/>
      <c r="I149" s="471"/>
      <c r="J149" s="471"/>
      <c r="K149" s="471"/>
      <c r="L149" s="471"/>
      <c r="M149" s="125">
        <v>574</v>
      </c>
      <c r="N149" s="506"/>
      <c r="O149" s="506"/>
      <c r="P149" s="506"/>
      <c r="Q149" s="140" t="s">
        <v>44</v>
      </c>
      <c r="R149" s="125">
        <v>33</v>
      </c>
      <c r="S149" s="127"/>
      <c r="T149" s="48" t="s">
        <v>44</v>
      </c>
    </row>
    <row r="150" spans="2:20" x14ac:dyDescent="0.25">
      <c r="B150" s="49">
        <v>98</v>
      </c>
      <c r="C150" s="471" t="s">
        <v>180</v>
      </c>
      <c r="D150" s="471"/>
      <c r="E150" s="471"/>
      <c r="F150" s="471"/>
      <c r="G150" s="471"/>
      <c r="H150" s="471"/>
      <c r="I150" s="471"/>
      <c r="J150" s="471"/>
      <c r="K150" s="471"/>
      <c r="L150" s="471"/>
      <c r="M150" s="125">
        <v>580</v>
      </c>
      <c r="N150" s="506"/>
      <c r="O150" s="506"/>
      <c r="P150" s="506"/>
      <c r="Q150" s="140" t="s">
        <v>44</v>
      </c>
      <c r="R150" s="125">
        <v>149</v>
      </c>
      <c r="S150" s="127"/>
      <c r="T150" s="48" t="s">
        <v>44</v>
      </c>
    </row>
    <row r="151" spans="2:20" x14ac:dyDescent="0.25">
      <c r="B151" s="49">
        <v>99</v>
      </c>
      <c r="C151" s="471" t="s">
        <v>181</v>
      </c>
      <c r="D151" s="471"/>
      <c r="E151" s="471"/>
      <c r="F151" s="471"/>
      <c r="G151" s="471"/>
      <c r="H151" s="471"/>
      <c r="I151" s="471"/>
      <c r="J151" s="471"/>
      <c r="K151" s="471"/>
      <c r="L151" s="471"/>
      <c r="M151" s="125">
        <v>582</v>
      </c>
      <c r="N151" s="506"/>
      <c r="O151" s="506"/>
      <c r="P151" s="506"/>
      <c r="Q151" s="140" t="s">
        <v>44</v>
      </c>
      <c r="R151" s="125">
        <v>85</v>
      </c>
      <c r="S151" s="127"/>
      <c r="T151" s="48" t="s">
        <v>44</v>
      </c>
    </row>
    <row r="152" spans="2:20" x14ac:dyDescent="0.25">
      <c r="B152" s="49">
        <v>100</v>
      </c>
      <c r="C152" s="471" t="s">
        <v>182</v>
      </c>
      <c r="D152" s="471"/>
      <c r="E152" s="471"/>
      <c r="F152" s="471"/>
      <c r="G152" s="471"/>
      <c r="H152" s="471"/>
      <c r="I152" s="471"/>
      <c r="J152" s="471"/>
      <c r="K152" s="471"/>
      <c r="L152" s="471"/>
      <c r="M152" s="125">
        <v>753</v>
      </c>
      <c r="N152" s="506"/>
      <c r="O152" s="506"/>
      <c r="P152" s="506"/>
      <c r="Q152" s="140" t="s">
        <v>44</v>
      </c>
      <c r="R152" s="125">
        <v>754</v>
      </c>
      <c r="S152" s="127"/>
      <c r="T152" s="48" t="s">
        <v>44</v>
      </c>
    </row>
    <row r="153" spans="2:20" x14ac:dyDescent="0.25">
      <c r="B153" s="49">
        <v>101</v>
      </c>
      <c r="C153" s="471" t="s">
        <v>188</v>
      </c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125">
        <v>551</v>
      </c>
      <c r="S153" s="127"/>
      <c r="T153" s="48" t="s">
        <v>44</v>
      </c>
    </row>
    <row r="154" spans="2:20" x14ac:dyDescent="0.25">
      <c r="B154" s="49">
        <v>102</v>
      </c>
      <c r="C154" s="471" t="s">
        <v>189</v>
      </c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P154" s="471"/>
      <c r="Q154" s="471"/>
      <c r="R154" s="125">
        <v>559</v>
      </c>
      <c r="S154" s="127"/>
      <c r="T154" s="48" t="s">
        <v>51</v>
      </c>
    </row>
    <row r="155" spans="2:20" x14ac:dyDescent="0.25">
      <c r="B155" s="49">
        <v>103</v>
      </c>
      <c r="C155" s="471" t="s">
        <v>190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125">
        <v>508</v>
      </c>
      <c r="S155" s="127"/>
      <c r="T155" s="48" t="s">
        <v>44</v>
      </c>
    </row>
    <row r="156" spans="2:20" x14ac:dyDescent="0.25">
      <c r="B156" s="49">
        <v>104</v>
      </c>
      <c r="C156" s="471" t="s">
        <v>191</v>
      </c>
      <c r="D156" s="471"/>
      <c r="E156" s="471"/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P156" s="471"/>
      <c r="Q156" s="471"/>
      <c r="R156" s="125">
        <v>533</v>
      </c>
      <c r="S156" s="127"/>
      <c r="T156" s="48" t="s">
        <v>51</v>
      </c>
    </row>
    <row r="157" spans="2:20" x14ac:dyDescent="0.25">
      <c r="B157" s="49">
        <v>105</v>
      </c>
      <c r="C157" s="471" t="s">
        <v>192</v>
      </c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P157" s="471"/>
      <c r="Q157" s="471"/>
      <c r="R157" s="125">
        <v>552</v>
      </c>
      <c r="S157" s="127"/>
      <c r="T157" s="48" t="s">
        <v>44</v>
      </c>
    </row>
    <row r="158" spans="2:20" ht="15.75" thickBot="1" x14ac:dyDescent="0.3">
      <c r="B158" s="49">
        <v>106</v>
      </c>
      <c r="C158" s="470" t="s">
        <v>193</v>
      </c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52">
        <v>603</v>
      </c>
      <c r="S158" s="27">
        <f>+S148+S149+S150+S151+S152+S153-S154+S155-S156+S157</f>
        <v>0</v>
      </c>
      <c r="T158" s="11" t="s">
        <v>65</v>
      </c>
    </row>
    <row r="159" spans="2:20" ht="15.75" thickBot="1" x14ac:dyDescent="0.3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2:20" ht="15.75" thickBot="1" x14ac:dyDescent="0.3">
      <c r="B160" s="22">
        <v>107</v>
      </c>
      <c r="C160" s="483" t="s">
        <v>194</v>
      </c>
      <c r="D160" s="483"/>
      <c r="E160" s="483"/>
      <c r="F160" s="483"/>
      <c r="G160" s="483"/>
      <c r="H160" s="483"/>
      <c r="I160" s="23">
        <v>507</v>
      </c>
      <c r="J160" s="502">
        <f>IF(S146-S158&lt;0,S158-S146,0)</f>
        <v>0</v>
      </c>
      <c r="K160" s="502"/>
      <c r="L160" s="502"/>
      <c r="M160" s="502"/>
      <c r="N160" s="483" t="s">
        <v>195</v>
      </c>
      <c r="O160" s="483"/>
      <c r="P160" s="483"/>
      <c r="Q160" s="483"/>
      <c r="R160" s="23">
        <v>506</v>
      </c>
      <c r="S160" s="28">
        <f>IF(S146-S158&gt;0,S146-S158,0)</f>
        <v>0</v>
      </c>
      <c r="T160" s="25" t="s">
        <v>44</v>
      </c>
    </row>
    <row r="161" spans="2:20" ht="15.75" thickBot="1" x14ac:dyDescent="0.3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2:20" x14ac:dyDescent="0.25">
      <c r="B162" s="484" t="s">
        <v>196</v>
      </c>
      <c r="C162" s="485"/>
      <c r="D162" s="485"/>
      <c r="E162" s="485"/>
      <c r="F162" s="485"/>
      <c r="G162" s="485"/>
      <c r="H162" s="485"/>
      <c r="I162" s="485"/>
      <c r="J162" s="485"/>
      <c r="K162" s="485"/>
      <c r="L162" s="485"/>
      <c r="M162" s="485"/>
      <c r="N162" s="485"/>
      <c r="O162" s="485"/>
      <c r="P162" s="485"/>
      <c r="Q162" s="485"/>
      <c r="R162" s="485"/>
      <c r="S162" s="485"/>
      <c r="T162" s="46"/>
    </row>
    <row r="163" spans="2:20" x14ac:dyDescent="0.25">
      <c r="B163" s="503" t="s">
        <v>197</v>
      </c>
      <c r="C163" s="504"/>
      <c r="D163" s="504"/>
      <c r="E163" s="504"/>
      <c r="F163" s="504"/>
      <c r="G163" s="504"/>
      <c r="H163" s="504"/>
      <c r="I163" s="504"/>
      <c r="J163" s="504"/>
      <c r="K163" s="504"/>
      <c r="L163" s="504"/>
      <c r="M163" s="504"/>
      <c r="N163" s="504"/>
      <c r="O163" s="504"/>
      <c r="P163" s="504"/>
      <c r="Q163" s="504"/>
      <c r="R163" s="504"/>
      <c r="S163" s="504"/>
      <c r="T163" s="505"/>
    </row>
    <row r="164" spans="2:20" x14ac:dyDescent="0.25">
      <c r="B164" s="49">
        <v>108</v>
      </c>
      <c r="C164" s="471" t="s">
        <v>198</v>
      </c>
      <c r="D164" s="471"/>
      <c r="E164" s="471"/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P164" s="471"/>
      <c r="Q164" s="471"/>
      <c r="R164" s="125">
        <v>556</v>
      </c>
      <c r="S164" s="127"/>
      <c r="T164" s="48" t="s">
        <v>44</v>
      </c>
    </row>
    <row r="165" spans="2:20" x14ac:dyDescent="0.25">
      <c r="B165" s="49">
        <v>109</v>
      </c>
      <c r="C165" s="471" t="s">
        <v>199</v>
      </c>
      <c r="D165" s="471"/>
      <c r="E165" s="471"/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P165" s="471"/>
      <c r="Q165" s="471"/>
      <c r="R165" s="125">
        <v>557</v>
      </c>
      <c r="S165" s="127"/>
      <c r="T165" s="48" t="s">
        <v>44</v>
      </c>
    </row>
    <row r="166" spans="2:20" x14ac:dyDescent="0.25">
      <c r="B166" s="49">
        <v>110</v>
      </c>
      <c r="C166" s="471" t="s">
        <v>200</v>
      </c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P166" s="471"/>
      <c r="Q166" s="471"/>
      <c r="R166" s="125">
        <v>558</v>
      </c>
      <c r="S166" s="127"/>
      <c r="T166" s="48" t="s">
        <v>51</v>
      </c>
    </row>
    <row r="167" spans="2:20" x14ac:dyDescent="0.25">
      <c r="B167" s="49">
        <v>111</v>
      </c>
      <c r="C167" s="471" t="s">
        <v>201</v>
      </c>
      <c r="D167" s="471"/>
      <c r="E167" s="471"/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P167" s="471"/>
      <c r="Q167" s="471"/>
      <c r="R167" s="125">
        <v>543</v>
      </c>
      <c r="S167" s="134">
        <f>+S164+S165-S166</f>
        <v>0</v>
      </c>
      <c r="T167" s="48" t="s">
        <v>65</v>
      </c>
    </row>
    <row r="168" spans="2:20" ht="15.75" thickBot="1" x14ac:dyDescent="0.3">
      <c r="B168" s="14">
        <v>112</v>
      </c>
      <c r="C168" s="472" t="s">
        <v>202</v>
      </c>
      <c r="D168" s="472"/>
      <c r="E168" s="472"/>
      <c r="F168" s="472"/>
      <c r="G168" s="472"/>
      <c r="H168" s="472"/>
      <c r="I168" s="15">
        <v>573</v>
      </c>
      <c r="J168" s="584">
        <f>IF(S80&lt;S167,S167-S168,0)</f>
        <v>0</v>
      </c>
      <c r="K168" s="584"/>
      <c r="L168" s="584"/>
      <c r="M168" s="584"/>
      <c r="N168" s="472" t="s">
        <v>203</v>
      </c>
      <c r="O168" s="472"/>
      <c r="P168" s="472"/>
      <c r="Q168" s="472"/>
      <c r="R168" s="15">
        <v>598</v>
      </c>
      <c r="S168" s="53">
        <f>IF(S167&gt;S80,S80,S167)</f>
        <v>0</v>
      </c>
      <c r="T168" s="48" t="s">
        <v>51</v>
      </c>
    </row>
    <row r="169" spans="2:20" ht="15.75" thickBot="1" x14ac:dyDescent="0.3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2:20" x14ac:dyDescent="0.25">
      <c r="B170" s="484" t="s">
        <v>204</v>
      </c>
      <c r="C170" s="485"/>
      <c r="D170" s="485"/>
      <c r="E170" s="485"/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P170" s="485"/>
      <c r="Q170" s="485"/>
      <c r="R170" s="485"/>
      <c r="S170" s="485"/>
      <c r="T170" s="498"/>
    </row>
    <row r="171" spans="2:20" x14ac:dyDescent="0.25">
      <c r="B171" s="49">
        <v>113</v>
      </c>
      <c r="C171" s="471" t="s">
        <v>205</v>
      </c>
      <c r="D171" s="471"/>
      <c r="E171" s="471"/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P171" s="471"/>
      <c r="Q171" s="471"/>
      <c r="R171" s="125">
        <v>39</v>
      </c>
      <c r="S171" s="141"/>
      <c r="T171" s="140" t="s">
        <v>44</v>
      </c>
    </row>
    <row r="172" spans="2:20" x14ac:dyDescent="0.25">
      <c r="B172" s="49">
        <v>114</v>
      </c>
      <c r="C172" s="471" t="s">
        <v>206</v>
      </c>
      <c r="D172" s="471"/>
      <c r="E172" s="471"/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P172" s="471"/>
      <c r="Q172" s="471"/>
      <c r="R172" s="125">
        <v>554</v>
      </c>
      <c r="S172" s="141"/>
      <c r="T172" s="140" t="s">
        <v>44</v>
      </c>
    </row>
    <row r="173" spans="2:20" x14ac:dyDescent="0.25">
      <c r="B173" s="49">
        <v>115</v>
      </c>
      <c r="C173" s="471" t="s">
        <v>207</v>
      </c>
      <c r="D173" s="471"/>
      <c r="E173" s="471"/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P173" s="471"/>
      <c r="Q173" s="471"/>
      <c r="R173" s="125">
        <v>736</v>
      </c>
      <c r="S173" s="141"/>
      <c r="T173" s="140" t="s">
        <v>51</v>
      </c>
    </row>
    <row r="174" spans="2:20" x14ac:dyDescent="0.25">
      <c r="B174" s="49">
        <v>116</v>
      </c>
      <c r="C174" s="471" t="s">
        <v>208</v>
      </c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P174" s="471"/>
      <c r="Q174" s="471"/>
      <c r="R174" s="125">
        <v>597</v>
      </c>
      <c r="S174" s="141"/>
      <c r="T174" s="140" t="s">
        <v>44</v>
      </c>
    </row>
    <row r="175" spans="2:20" ht="15.75" thickBot="1" x14ac:dyDescent="0.3">
      <c r="B175" s="10">
        <v>117</v>
      </c>
      <c r="C175" s="470" t="s">
        <v>209</v>
      </c>
      <c r="D175" s="470"/>
      <c r="E175" s="470"/>
      <c r="F175" s="470"/>
      <c r="G175" s="470"/>
      <c r="H175" s="470"/>
      <c r="I175" s="52">
        <v>555</v>
      </c>
      <c r="J175" s="499"/>
      <c r="K175" s="499"/>
      <c r="L175" s="499"/>
      <c r="M175" s="29" t="s">
        <v>44</v>
      </c>
      <c r="N175" s="500" t="s">
        <v>210</v>
      </c>
      <c r="O175" s="500"/>
      <c r="P175" s="500"/>
      <c r="Q175" s="500"/>
      <c r="R175" s="52">
        <v>596</v>
      </c>
      <c r="S175" s="12">
        <f>+S171+S172-S173+S174+J175</f>
        <v>0</v>
      </c>
      <c r="T175" s="11" t="s">
        <v>44</v>
      </c>
    </row>
    <row r="176" spans="2:20" ht="15.75" thickBot="1" x14ac:dyDescent="0.3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2:20" x14ac:dyDescent="0.25">
      <c r="B177" s="484" t="s">
        <v>211</v>
      </c>
      <c r="C177" s="485"/>
      <c r="D177" s="485"/>
      <c r="E177" s="485"/>
      <c r="F177" s="485"/>
      <c r="G177" s="485"/>
      <c r="H177" s="485"/>
      <c r="I177" s="485"/>
      <c r="J177" s="485"/>
      <c r="K177" s="485"/>
      <c r="L177" s="485"/>
      <c r="M177" s="485"/>
      <c r="N177" s="485"/>
      <c r="O177" s="485"/>
      <c r="P177" s="485"/>
      <c r="Q177" s="485"/>
      <c r="R177" s="485"/>
      <c r="S177" s="485"/>
      <c r="T177" s="46"/>
    </row>
    <row r="178" spans="2:20" x14ac:dyDescent="0.25">
      <c r="B178" s="49">
        <v>118</v>
      </c>
      <c r="C178" s="471" t="s">
        <v>212</v>
      </c>
      <c r="D178" s="471"/>
      <c r="E178" s="471"/>
      <c r="F178" s="471"/>
      <c r="G178" s="125">
        <v>725</v>
      </c>
      <c r="H178" s="129"/>
      <c r="I178" s="471" t="s">
        <v>213</v>
      </c>
      <c r="J178" s="471"/>
      <c r="K178" s="471"/>
      <c r="L178" s="125">
        <v>737</v>
      </c>
      <c r="M178" s="495"/>
      <c r="N178" s="496"/>
      <c r="O178" s="497"/>
      <c r="P178" s="471" t="s">
        <v>214</v>
      </c>
      <c r="Q178" s="471"/>
      <c r="R178" s="125">
        <v>727</v>
      </c>
      <c r="S178" s="134">
        <f>+H178+M178</f>
        <v>0</v>
      </c>
      <c r="T178" s="48" t="s">
        <v>51</v>
      </c>
    </row>
    <row r="179" spans="2:20" x14ac:dyDescent="0.25">
      <c r="B179" s="49">
        <v>119</v>
      </c>
      <c r="C179" s="471" t="s">
        <v>215</v>
      </c>
      <c r="D179" s="471"/>
      <c r="E179" s="471"/>
      <c r="F179" s="471"/>
      <c r="G179" s="125">
        <v>704</v>
      </c>
      <c r="H179" s="129"/>
      <c r="I179" s="471" t="s">
        <v>213</v>
      </c>
      <c r="J179" s="471"/>
      <c r="K179" s="471"/>
      <c r="L179" s="125">
        <v>705</v>
      </c>
      <c r="M179" s="495"/>
      <c r="N179" s="496"/>
      <c r="O179" s="497"/>
      <c r="P179" s="471" t="s">
        <v>214</v>
      </c>
      <c r="Q179" s="471"/>
      <c r="R179" s="125">
        <v>706</v>
      </c>
      <c r="S179" s="134">
        <f t="shared" ref="S179:S183" si="0">+H179+M179</f>
        <v>0</v>
      </c>
      <c r="T179" s="48" t="s">
        <v>51</v>
      </c>
    </row>
    <row r="180" spans="2:20" x14ac:dyDescent="0.25">
      <c r="B180" s="49">
        <v>120</v>
      </c>
      <c r="C180" s="471" t="s">
        <v>216</v>
      </c>
      <c r="D180" s="471"/>
      <c r="E180" s="471"/>
      <c r="F180" s="471"/>
      <c r="G180" s="125">
        <v>160</v>
      </c>
      <c r="H180" s="129"/>
      <c r="I180" s="471" t="s">
        <v>213</v>
      </c>
      <c r="J180" s="471"/>
      <c r="K180" s="471"/>
      <c r="L180" s="125">
        <v>161</v>
      </c>
      <c r="M180" s="495"/>
      <c r="N180" s="496"/>
      <c r="O180" s="497"/>
      <c r="P180" s="471" t="s">
        <v>214</v>
      </c>
      <c r="Q180" s="471"/>
      <c r="R180" s="125">
        <v>570</v>
      </c>
      <c r="S180" s="134">
        <f t="shared" si="0"/>
        <v>0</v>
      </c>
      <c r="T180" s="48" t="s">
        <v>51</v>
      </c>
    </row>
    <row r="181" spans="2:20" x14ac:dyDescent="0.25">
      <c r="B181" s="49">
        <v>121</v>
      </c>
      <c r="C181" s="471" t="s">
        <v>217</v>
      </c>
      <c r="D181" s="471"/>
      <c r="E181" s="471"/>
      <c r="F181" s="471"/>
      <c r="G181" s="125">
        <v>126</v>
      </c>
      <c r="H181" s="129"/>
      <c r="I181" s="471" t="s">
        <v>213</v>
      </c>
      <c r="J181" s="471"/>
      <c r="K181" s="471"/>
      <c r="L181" s="125">
        <v>128</v>
      </c>
      <c r="M181" s="495"/>
      <c r="N181" s="496"/>
      <c r="O181" s="497"/>
      <c r="P181" s="471" t="s">
        <v>214</v>
      </c>
      <c r="Q181" s="471"/>
      <c r="R181" s="125">
        <v>571</v>
      </c>
      <c r="S181" s="134">
        <f t="shared" si="0"/>
        <v>0</v>
      </c>
      <c r="T181" s="48" t="s">
        <v>51</v>
      </c>
    </row>
    <row r="182" spans="2:20" x14ac:dyDescent="0.25">
      <c r="B182" s="49">
        <v>122</v>
      </c>
      <c r="C182" s="471" t="s">
        <v>218</v>
      </c>
      <c r="D182" s="471"/>
      <c r="E182" s="471"/>
      <c r="F182" s="471"/>
      <c r="G182" s="125">
        <v>572</v>
      </c>
      <c r="H182" s="129"/>
      <c r="I182" s="471" t="s">
        <v>213</v>
      </c>
      <c r="J182" s="471"/>
      <c r="K182" s="471"/>
      <c r="L182" s="125">
        <v>568</v>
      </c>
      <c r="M182" s="489"/>
      <c r="N182" s="490"/>
      <c r="O182" s="491"/>
      <c r="P182" s="471" t="s">
        <v>214</v>
      </c>
      <c r="Q182" s="471"/>
      <c r="R182" s="125">
        <v>590</v>
      </c>
      <c r="S182" s="134">
        <f t="shared" si="0"/>
        <v>0</v>
      </c>
      <c r="T182" s="48" t="s">
        <v>51</v>
      </c>
    </row>
    <row r="183" spans="2:20" ht="15.75" thickBot="1" x14ac:dyDescent="0.3">
      <c r="B183" s="51">
        <v>123</v>
      </c>
      <c r="C183" s="472" t="s">
        <v>219</v>
      </c>
      <c r="D183" s="472"/>
      <c r="E183" s="472"/>
      <c r="F183" s="472"/>
      <c r="G183" s="15">
        <v>768</v>
      </c>
      <c r="H183" s="30"/>
      <c r="I183" s="472" t="s">
        <v>213</v>
      </c>
      <c r="J183" s="472"/>
      <c r="K183" s="472"/>
      <c r="L183" s="15">
        <v>769</v>
      </c>
      <c r="M183" s="492"/>
      <c r="N183" s="493"/>
      <c r="O183" s="494"/>
      <c r="P183" s="472" t="s">
        <v>214</v>
      </c>
      <c r="Q183" s="472"/>
      <c r="R183" s="15">
        <v>770</v>
      </c>
      <c r="S183" s="134">
        <f t="shared" si="0"/>
        <v>0</v>
      </c>
      <c r="T183" s="17" t="s">
        <v>51</v>
      </c>
    </row>
    <row r="184" spans="2:20" x14ac:dyDescent="0.25">
      <c r="B184" s="3"/>
      <c r="C184" s="31"/>
      <c r="D184" s="31"/>
      <c r="E184" s="31"/>
      <c r="F184" s="31"/>
      <c r="G184" s="3"/>
      <c r="H184" s="32"/>
      <c r="I184" s="31"/>
      <c r="J184" s="31"/>
      <c r="K184" s="31"/>
      <c r="L184" s="3"/>
      <c r="M184" s="32"/>
      <c r="N184" s="32"/>
      <c r="O184" s="32"/>
      <c r="P184" s="31"/>
      <c r="Q184" s="31"/>
      <c r="R184" s="3"/>
      <c r="S184" s="33">
        <f>+S124+S134+S160+S168+S175-S178-S179-S180-S181-S183</f>
        <v>0</v>
      </c>
      <c r="T184" s="3"/>
    </row>
    <row r="185" spans="2:20" ht="15.75" thickBot="1" x14ac:dyDescent="0.3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33">
        <f>+S118+S184</f>
        <v>477679.29089443997</v>
      </c>
      <c r="T185" s="9"/>
    </row>
    <row r="186" spans="2:20" ht="15.75" thickBot="1" x14ac:dyDescent="0.3">
      <c r="B186" s="22">
        <v>124</v>
      </c>
      <c r="C186" s="483" t="s">
        <v>220</v>
      </c>
      <c r="D186" s="483"/>
      <c r="E186" s="483"/>
      <c r="F186" s="483"/>
      <c r="G186" s="483"/>
      <c r="H186" s="483"/>
      <c r="I186" s="483"/>
      <c r="J186" s="483"/>
      <c r="K186" s="483"/>
      <c r="L186" s="483"/>
      <c r="M186" s="483"/>
      <c r="N186" s="483"/>
      <c r="O186" s="483"/>
      <c r="P186" s="483"/>
      <c r="Q186" s="483"/>
      <c r="R186" s="23">
        <v>547</v>
      </c>
      <c r="S186" s="34">
        <f>IF(S184=0,0,IF(S185&gt;0,S185,-(S185)))</f>
        <v>0</v>
      </c>
      <c r="T186" s="25" t="s">
        <v>65</v>
      </c>
    </row>
    <row r="187" spans="2:20" ht="15.75" thickBot="1" x14ac:dyDescent="0.3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2:20" x14ac:dyDescent="0.25">
      <c r="B188" s="484" t="s">
        <v>221</v>
      </c>
      <c r="C188" s="485"/>
      <c r="D188" s="485"/>
      <c r="E188" s="485"/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P188" s="485"/>
      <c r="Q188" s="485"/>
      <c r="R188" s="485"/>
      <c r="S188" s="485"/>
      <c r="T188" s="46"/>
    </row>
    <row r="189" spans="2:20" x14ac:dyDescent="0.25">
      <c r="B189" s="49">
        <v>125</v>
      </c>
      <c r="C189" s="471" t="s">
        <v>222</v>
      </c>
      <c r="D189" s="471"/>
      <c r="E189" s="471"/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P189" s="471"/>
      <c r="Q189" s="471"/>
      <c r="R189" s="125">
        <v>728</v>
      </c>
      <c r="S189" s="127"/>
      <c r="T189" s="48"/>
    </row>
    <row r="190" spans="2:20" x14ac:dyDescent="0.25">
      <c r="B190" s="49">
        <v>126</v>
      </c>
      <c r="C190" s="471" t="s">
        <v>223</v>
      </c>
      <c r="D190" s="471"/>
      <c r="E190" s="471"/>
      <c r="F190" s="471"/>
      <c r="G190" s="471"/>
      <c r="H190" s="471"/>
      <c r="I190" s="471"/>
      <c r="J190" s="471"/>
      <c r="K190" s="471"/>
      <c r="L190" s="471"/>
      <c r="M190" s="471"/>
      <c r="N190" s="471"/>
      <c r="O190" s="471"/>
      <c r="P190" s="471"/>
      <c r="Q190" s="471"/>
      <c r="R190" s="125">
        <v>707</v>
      </c>
      <c r="S190" s="127"/>
      <c r="T190" s="48"/>
    </row>
    <row r="191" spans="2:20" x14ac:dyDescent="0.25">
      <c r="B191" s="49">
        <v>127</v>
      </c>
      <c r="C191" s="471" t="s">
        <v>224</v>
      </c>
      <c r="D191" s="471"/>
      <c r="E191" s="471"/>
      <c r="F191" s="471"/>
      <c r="G191" s="471"/>
      <c r="H191" s="471"/>
      <c r="I191" s="471"/>
      <c r="J191" s="471"/>
      <c r="K191" s="471"/>
      <c r="L191" s="471"/>
      <c r="M191" s="471"/>
      <c r="N191" s="471"/>
      <c r="O191" s="471"/>
      <c r="P191" s="471"/>
      <c r="Q191" s="471"/>
      <c r="R191" s="125">
        <v>73</v>
      </c>
      <c r="S191" s="127"/>
      <c r="T191" s="48"/>
    </row>
    <row r="192" spans="2:20" x14ac:dyDescent="0.25">
      <c r="B192" s="49">
        <v>128</v>
      </c>
      <c r="C192" s="471" t="s">
        <v>225</v>
      </c>
      <c r="D192" s="471"/>
      <c r="E192" s="471"/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P192" s="471"/>
      <c r="Q192" s="471"/>
      <c r="R192" s="125">
        <v>130</v>
      </c>
      <c r="S192" s="127"/>
      <c r="T192" s="48"/>
    </row>
    <row r="193" spans="2:20" x14ac:dyDescent="0.25">
      <c r="B193" s="49">
        <v>129</v>
      </c>
      <c r="C193" s="471" t="s">
        <v>226</v>
      </c>
      <c r="D193" s="471"/>
      <c r="E193" s="471"/>
      <c r="F193" s="471"/>
      <c r="G193" s="471"/>
      <c r="H193" s="471"/>
      <c r="I193" s="471"/>
      <c r="J193" s="471"/>
      <c r="K193" s="471"/>
      <c r="L193" s="471"/>
      <c r="M193" s="471"/>
      <c r="N193" s="471"/>
      <c r="O193" s="471"/>
      <c r="P193" s="471"/>
      <c r="Q193" s="471"/>
      <c r="R193" s="125">
        <v>591</v>
      </c>
      <c r="S193" s="127"/>
      <c r="T193" s="48"/>
    </row>
    <row r="194" spans="2:20" ht="15.75" thickBot="1" x14ac:dyDescent="0.3">
      <c r="B194" s="14">
        <v>130</v>
      </c>
      <c r="C194" s="472" t="s">
        <v>227</v>
      </c>
      <c r="D194" s="472"/>
      <c r="E194" s="472"/>
      <c r="F194" s="472"/>
      <c r="G194" s="472"/>
      <c r="H194" s="472"/>
      <c r="I194" s="472"/>
      <c r="J194" s="472"/>
      <c r="K194" s="472"/>
      <c r="L194" s="472"/>
      <c r="M194" s="472"/>
      <c r="N194" s="472"/>
      <c r="O194" s="472"/>
      <c r="P194" s="472"/>
      <c r="Q194" s="472"/>
      <c r="R194" s="15">
        <v>771</v>
      </c>
      <c r="S194" s="21"/>
      <c r="T194" s="17"/>
    </row>
    <row r="195" spans="2:20" ht="15.75" thickBot="1" x14ac:dyDescent="0.3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2:20" x14ac:dyDescent="0.25">
      <c r="B196" s="18">
        <v>131</v>
      </c>
      <c r="C196" s="473" t="s">
        <v>228</v>
      </c>
      <c r="D196" s="473"/>
      <c r="E196" s="473"/>
      <c r="F196" s="473"/>
      <c r="G196" s="473"/>
      <c r="H196" s="473"/>
      <c r="I196" s="473"/>
      <c r="J196" s="473"/>
      <c r="K196" s="473"/>
      <c r="L196" s="473"/>
      <c r="M196" s="473"/>
      <c r="N196" s="473"/>
      <c r="O196" s="473"/>
      <c r="P196" s="473"/>
      <c r="Q196" s="473"/>
      <c r="R196" s="8">
        <v>91</v>
      </c>
      <c r="S196" s="35">
        <f>IF(S186&lt;0,0,IF(S186=0,S118,S186))</f>
        <v>477679.29089443997</v>
      </c>
      <c r="T196" s="20" t="s">
        <v>65</v>
      </c>
    </row>
    <row r="197" spans="2:20" x14ac:dyDescent="0.25">
      <c r="B197" s="49">
        <v>132</v>
      </c>
      <c r="C197" s="471" t="s">
        <v>229</v>
      </c>
      <c r="D197" s="471"/>
      <c r="E197" s="471"/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125">
        <v>92</v>
      </c>
      <c r="S197" s="134">
        <f>+Multas!D17</f>
        <v>0</v>
      </c>
      <c r="T197" s="48" t="s">
        <v>44</v>
      </c>
    </row>
    <row r="198" spans="2:20" x14ac:dyDescent="0.25">
      <c r="B198" s="49">
        <v>133</v>
      </c>
      <c r="C198" s="471" t="s">
        <v>230</v>
      </c>
      <c r="D198" s="471"/>
      <c r="E198" s="471"/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P198" s="471"/>
      <c r="Q198" s="471"/>
      <c r="R198" s="125">
        <v>93</v>
      </c>
      <c r="S198" s="134"/>
      <c r="T198" s="48" t="s">
        <v>44</v>
      </c>
    </row>
    <row r="199" spans="2:20" x14ac:dyDescent="0.25">
      <c r="B199" s="474"/>
      <c r="C199" s="476" t="s">
        <v>231</v>
      </c>
      <c r="D199" s="478" t="s">
        <v>232</v>
      </c>
      <c r="E199" s="479"/>
      <c r="F199" s="125">
        <v>922</v>
      </c>
      <c r="G199" s="478"/>
      <c r="H199" s="479"/>
      <c r="I199" s="478" t="s">
        <v>233</v>
      </c>
      <c r="J199" s="479"/>
      <c r="K199" s="125">
        <v>915</v>
      </c>
      <c r="L199" s="142"/>
      <c r="M199" s="478" t="s">
        <v>234</v>
      </c>
      <c r="N199" s="479"/>
      <c r="O199" s="125">
        <v>60</v>
      </c>
      <c r="P199" s="478"/>
      <c r="Q199" s="479"/>
      <c r="R199" s="486"/>
      <c r="S199" s="487"/>
      <c r="T199" s="488"/>
    </row>
    <row r="200" spans="2:20" x14ac:dyDescent="0.25">
      <c r="B200" s="475"/>
      <c r="C200" s="477"/>
      <c r="D200" s="480" t="s">
        <v>235</v>
      </c>
      <c r="E200" s="481"/>
      <c r="F200" s="481"/>
      <c r="G200" s="481"/>
      <c r="H200" s="481"/>
      <c r="I200" s="481"/>
      <c r="J200" s="481"/>
      <c r="K200" s="481"/>
      <c r="L200" s="481"/>
      <c r="M200" s="481"/>
      <c r="N200" s="481"/>
      <c r="O200" s="481"/>
      <c r="P200" s="481"/>
      <c r="Q200" s="482"/>
      <c r="R200" s="118">
        <v>795</v>
      </c>
      <c r="S200" s="134"/>
      <c r="T200" s="140" t="s">
        <v>51</v>
      </c>
    </row>
    <row r="201" spans="2:20" ht="15.75" thickBot="1" x14ac:dyDescent="0.3">
      <c r="B201" s="10">
        <v>134</v>
      </c>
      <c r="C201" s="470" t="s">
        <v>236</v>
      </c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52">
        <v>94</v>
      </c>
      <c r="S201" s="16">
        <f>IF(AND(S197=0,S198=0),0,S196+S197+S198-S200)</f>
        <v>0</v>
      </c>
      <c r="T201" s="17" t="s">
        <v>65</v>
      </c>
    </row>
    <row r="202" spans="2:20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x14ac:dyDescent="0.25">
      <c r="B203" s="3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</sheetData>
  <mergeCells count="341">
    <mergeCell ref="C201:Q201"/>
    <mergeCell ref="C193:Q193"/>
    <mergeCell ref="C194:Q194"/>
    <mergeCell ref="C196:Q196"/>
    <mergeCell ref="C197:Q197"/>
    <mergeCell ref="C198:Q198"/>
    <mergeCell ref="B199:B200"/>
    <mergeCell ref="C199:C200"/>
    <mergeCell ref="D199:E199"/>
    <mergeCell ref="G199:H199"/>
    <mergeCell ref="I199:J199"/>
    <mergeCell ref="D200:Q200"/>
    <mergeCell ref="C186:Q186"/>
    <mergeCell ref="B188:S188"/>
    <mergeCell ref="C189:Q189"/>
    <mergeCell ref="C190:Q190"/>
    <mergeCell ref="C191:Q191"/>
    <mergeCell ref="C192:Q192"/>
    <mergeCell ref="M199:N199"/>
    <mergeCell ref="P199:Q199"/>
    <mergeCell ref="R199:T199"/>
    <mergeCell ref="C182:F182"/>
    <mergeCell ref="I182:K182"/>
    <mergeCell ref="M182:O182"/>
    <mergeCell ref="P182:Q182"/>
    <mergeCell ref="C183:F183"/>
    <mergeCell ref="I183:K183"/>
    <mergeCell ref="M183:O183"/>
    <mergeCell ref="P183:Q183"/>
    <mergeCell ref="C180:F180"/>
    <mergeCell ref="I180:K180"/>
    <mergeCell ref="M180:O180"/>
    <mergeCell ref="P180:Q180"/>
    <mergeCell ref="C181:F181"/>
    <mergeCell ref="I181:K181"/>
    <mergeCell ref="M181:O181"/>
    <mergeCell ref="P181:Q181"/>
    <mergeCell ref="B177:S177"/>
    <mergeCell ref="C178:F178"/>
    <mergeCell ref="I178:K178"/>
    <mergeCell ref="M178:O178"/>
    <mergeCell ref="P178:Q178"/>
    <mergeCell ref="C179:F179"/>
    <mergeCell ref="I179:K179"/>
    <mergeCell ref="M179:O179"/>
    <mergeCell ref="P179:Q179"/>
    <mergeCell ref="B170:T170"/>
    <mergeCell ref="C171:Q171"/>
    <mergeCell ref="C172:Q172"/>
    <mergeCell ref="C173:Q173"/>
    <mergeCell ref="C174:Q174"/>
    <mergeCell ref="C175:H175"/>
    <mergeCell ref="J175:L175"/>
    <mergeCell ref="N175:Q175"/>
    <mergeCell ref="C165:Q165"/>
    <mergeCell ref="C166:Q166"/>
    <mergeCell ref="C167:Q167"/>
    <mergeCell ref="C168:H168"/>
    <mergeCell ref="J168:M168"/>
    <mergeCell ref="N168:Q168"/>
    <mergeCell ref="C160:H160"/>
    <mergeCell ref="J160:M160"/>
    <mergeCell ref="N160:Q160"/>
    <mergeCell ref="B162:S162"/>
    <mergeCell ref="B163:T163"/>
    <mergeCell ref="C164:Q164"/>
    <mergeCell ref="C153:Q153"/>
    <mergeCell ref="C154:Q154"/>
    <mergeCell ref="C155:Q155"/>
    <mergeCell ref="C156:Q156"/>
    <mergeCell ref="C157:Q157"/>
    <mergeCell ref="C158:Q158"/>
    <mergeCell ref="C150:L150"/>
    <mergeCell ref="N150:P150"/>
    <mergeCell ref="C151:L151"/>
    <mergeCell ref="N151:P151"/>
    <mergeCell ref="C152:L152"/>
    <mergeCell ref="N152:P152"/>
    <mergeCell ref="B147:L147"/>
    <mergeCell ref="M147:Q147"/>
    <mergeCell ref="R147:T147"/>
    <mergeCell ref="C148:L148"/>
    <mergeCell ref="N148:P148"/>
    <mergeCell ref="C149:L149"/>
    <mergeCell ref="N149:P149"/>
    <mergeCell ref="C141:Q141"/>
    <mergeCell ref="C142:Q142"/>
    <mergeCell ref="C143:Q143"/>
    <mergeCell ref="C144:Q144"/>
    <mergeCell ref="C145:Q145"/>
    <mergeCell ref="C146:Q146"/>
    <mergeCell ref="B136:S136"/>
    <mergeCell ref="B137:Q137"/>
    <mergeCell ref="R137:T137"/>
    <mergeCell ref="C138:Q138"/>
    <mergeCell ref="C139:Q139"/>
    <mergeCell ref="C140:Q140"/>
    <mergeCell ref="C131:Q131"/>
    <mergeCell ref="C132:Q132"/>
    <mergeCell ref="C133:Q133"/>
    <mergeCell ref="C134:H134"/>
    <mergeCell ref="J134:L134"/>
    <mergeCell ref="M134:Q134"/>
    <mergeCell ref="C124:Q124"/>
    <mergeCell ref="B126:S126"/>
    <mergeCell ref="C127:Q127"/>
    <mergeCell ref="C128:Q128"/>
    <mergeCell ref="C129:Q129"/>
    <mergeCell ref="C130:Q130"/>
    <mergeCell ref="C118:Q118"/>
    <mergeCell ref="B120:S120"/>
    <mergeCell ref="B121:Q121"/>
    <mergeCell ref="R121:T121"/>
    <mergeCell ref="C122:Q122"/>
    <mergeCell ref="C123:Q123"/>
    <mergeCell ref="J113:L113"/>
    <mergeCell ref="N113:O113"/>
    <mergeCell ref="P113:Q113"/>
    <mergeCell ref="C114:Q114"/>
    <mergeCell ref="C115:Q115"/>
    <mergeCell ref="C116:Q116"/>
    <mergeCell ref="C110:F110"/>
    <mergeCell ref="J110:L110"/>
    <mergeCell ref="P110:Q110"/>
    <mergeCell ref="C111:Q111"/>
    <mergeCell ref="B112:B113"/>
    <mergeCell ref="C112:F113"/>
    <mergeCell ref="G112:H112"/>
    <mergeCell ref="I112:L112"/>
    <mergeCell ref="M112:O112"/>
    <mergeCell ref="P112:T112"/>
    <mergeCell ref="C109:F109"/>
    <mergeCell ref="J109:L109"/>
    <mergeCell ref="P109:Q109"/>
    <mergeCell ref="C102:Q102"/>
    <mergeCell ref="C103:Q103"/>
    <mergeCell ref="C104:Q104"/>
    <mergeCell ref="C105:Q105"/>
    <mergeCell ref="B106:S106"/>
    <mergeCell ref="D107:F107"/>
    <mergeCell ref="G107:H107"/>
    <mergeCell ref="I107:L107"/>
    <mergeCell ref="M107:N107"/>
    <mergeCell ref="O107:Q107"/>
    <mergeCell ref="C98:Q98"/>
    <mergeCell ref="C99:Q99"/>
    <mergeCell ref="C100:Q100"/>
    <mergeCell ref="C101:Q101"/>
    <mergeCell ref="M96:M97"/>
    <mergeCell ref="N96:O96"/>
    <mergeCell ref="P96:Q97"/>
    <mergeCell ref="R107:T107"/>
    <mergeCell ref="D108:E108"/>
    <mergeCell ref="J108:L108"/>
    <mergeCell ref="P108:Q108"/>
    <mergeCell ref="R96:R97"/>
    <mergeCell ref="S96:S97"/>
    <mergeCell ref="T96:T97"/>
    <mergeCell ref="C90:Q90"/>
    <mergeCell ref="C91:Q91"/>
    <mergeCell ref="B93:S93"/>
    <mergeCell ref="B94:S94"/>
    <mergeCell ref="C95:Q95"/>
    <mergeCell ref="B96:B97"/>
    <mergeCell ref="C96:F97"/>
    <mergeCell ref="G96:H97"/>
    <mergeCell ref="I96:I97"/>
    <mergeCell ref="J96:L96"/>
    <mergeCell ref="J97:L97"/>
    <mergeCell ref="N97:O97"/>
    <mergeCell ref="C87:E87"/>
    <mergeCell ref="G87:H87"/>
    <mergeCell ref="I87:Q87"/>
    <mergeCell ref="C88:E88"/>
    <mergeCell ref="G88:H88"/>
    <mergeCell ref="I88:Q88"/>
    <mergeCell ref="C85:E85"/>
    <mergeCell ref="G85:H85"/>
    <mergeCell ref="I85:Q85"/>
    <mergeCell ref="C86:E86"/>
    <mergeCell ref="G86:H86"/>
    <mergeCell ref="I86:Q86"/>
    <mergeCell ref="B83:Q83"/>
    <mergeCell ref="R83:T83"/>
    <mergeCell ref="C84:E84"/>
    <mergeCell ref="G84:H84"/>
    <mergeCell ref="J84:K84"/>
    <mergeCell ref="N84:O84"/>
    <mergeCell ref="P84:Q84"/>
    <mergeCell ref="B81:Q81"/>
    <mergeCell ref="R81:T81"/>
    <mergeCell ref="C82:E82"/>
    <mergeCell ref="G82:H82"/>
    <mergeCell ref="J82:K82"/>
    <mergeCell ref="N82:O82"/>
    <mergeCell ref="P82:Q82"/>
    <mergeCell ref="B79:Q79"/>
    <mergeCell ref="R79:T79"/>
    <mergeCell ref="C80:E80"/>
    <mergeCell ref="G80:H80"/>
    <mergeCell ref="J80:K80"/>
    <mergeCell ref="N80:O80"/>
    <mergeCell ref="P80:Q80"/>
    <mergeCell ref="T72:T73"/>
    <mergeCell ref="P73:Q73"/>
    <mergeCell ref="C74:Q74"/>
    <mergeCell ref="C75:Q75"/>
    <mergeCell ref="C76:Q76"/>
    <mergeCell ref="C77:Q77"/>
    <mergeCell ref="S70:S71"/>
    <mergeCell ref="T70:T71"/>
    <mergeCell ref="P71:Q71"/>
    <mergeCell ref="B72:B73"/>
    <mergeCell ref="C72:I73"/>
    <mergeCell ref="J72:J73"/>
    <mergeCell ref="K72:M73"/>
    <mergeCell ref="P72:Q72"/>
    <mergeCell ref="R72:R73"/>
    <mergeCell ref="S72:S73"/>
    <mergeCell ref="B70:B71"/>
    <mergeCell ref="C70:I71"/>
    <mergeCell ref="J70:J71"/>
    <mergeCell ref="K70:M71"/>
    <mergeCell ref="P70:Q70"/>
    <mergeCell ref="R70:R71"/>
    <mergeCell ref="C66:Q66"/>
    <mergeCell ref="C67:Q67"/>
    <mergeCell ref="B68:S68"/>
    <mergeCell ref="B69:I69"/>
    <mergeCell ref="J69:M69"/>
    <mergeCell ref="N69:Q69"/>
    <mergeCell ref="R69:T69"/>
    <mergeCell ref="C60:Q60"/>
    <mergeCell ref="C61:Q61"/>
    <mergeCell ref="C62:Q62"/>
    <mergeCell ref="C63:Q63"/>
    <mergeCell ref="C64:Q64"/>
    <mergeCell ref="C65:Q65"/>
    <mergeCell ref="C56:L56"/>
    <mergeCell ref="N56:Q56"/>
    <mergeCell ref="B57:S57"/>
    <mergeCell ref="C58:L58"/>
    <mergeCell ref="N58:Q58"/>
    <mergeCell ref="C59:L59"/>
    <mergeCell ref="N59:Q59"/>
    <mergeCell ref="C53:L53"/>
    <mergeCell ref="N53:Q53"/>
    <mergeCell ref="C54:L54"/>
    <mergeCell ref="N54:Q54"/>
    <mergeCell ref="C55:L55"/>
    <mergeCell ref="N55:Q55"/>
    <mergeCell ref="B50:L50"/>
    <mergeCell ref="M50:Q50"/>
    <mergeCell ref="R50:T50"/>
    <mergeCell ref="C51:L51"/>
    <mergeCell ref="N51:Q51"/>
    <mergeCell ref="C52:L52"/>
    <mergeCell ref="N52:Q52"/>
    <mergeCell ref="C46:L46"/>
    <mergeCell ref="N46:Q46"/>
    <mergeCell ref="C47:L47"/>
    <mergeCell ref="N47:Q47"/>
    <mergeCell ref="B48:S48"/>
    <mergeCell ref="B49:S49"/>
    <mergeCell ref="B43:S43"/>
    <mergeCell ref="B44:L44"/>
    <mergeCell ref="M44:Q44"/>
    <mergeCell ref="R44:T44"/>
    <mergeCell ref="C45:L45"/>
    <mergeCell ref="N45:Q45"/>
    <mergeCell ref="B39:S39"/>
    <mergeCell ref="B40:S40"/>
    <mergeCell ref="B41:L41"/>
    <mergeCell ref="M41:Q41"/>
    <mergeCell ref="R41:T41"/>
    <mergeCell ref="C42:L42"/>
    <mergeCell ref="N42:Q42"/>
    <mergeCell ref="C34:Q34"/>
    <mergeCell ref="C35:E35"/>
    <mergeCell ref="K35:M35"/>
    <mergeCell ref="P35:Q35"/>
    <mergeCell ref="C36:Q36"/>
    <mergeCell ref="C37:Q37"/>
    <mergeCell ref="C30:L30"/>
    <mergeCell ref="N30:Q30"/>
    <mergeCell ref="C31:L31"/>
    <mergeCell ref="N31:Q31"/>
    <mergeCell ref="C32:Q32"/>
    <mergeCell ref="C33:Q33"/>
    <mergeCell ref="C27:L27"/>
    <mergeCell ref="N27:Q27"/>
    <mergeCell ref="C28:L28"/>
    <mergeCell ref="N28:Q28"/>
    <mergeCell ref="C29:L29"/>
    <mergeCell ref="N29:Q29"/>
    <mergeCell ref="C24:L24"/>
    <mergeCell ref="N24:Q24"/>
    <mergeCell ref="C25:L25"/>
    <mergeCell ref="N25:Q25"/>
    <mergeCell ref="C26:L26"/>
    <mergeCell ref="N26:Q26"/>
    <mergeCell ref="R20:S20"/>
    <mergeCell ref="C21:L21"/>
    <mergeCell ref="N21:Q21"/>
    <mergeCell ref="C22:L22"/>
    <mergeCell ref="N22:Q22"/>
    <mergeCell ref="C23:L23"/>
    <mergeCell ref="N23:Q23"/>
    <mergeCell ref="C17:L17"/>
    <mergeCell ref="N17:Q17"/>
    <mergeCell ref="C18:L18"/>
    <mergeCell ref="N18:Q18"/>
    <mergeCell ref="C19:Q19"/>
    <mergeCell ref="B20:L20"/>
    <mergeCell ref="M20:Q20"/>
    <mergeCell ref="C14:L14"/>
    <mergeCell ref="N14:Q14"/>
    <mergeCell ref="C15:L15"/>
    <mergeCell ref="N15:Q15"/>
    <mergeCell ref="C16:L16"/>
    <mergeCell ref="N16:Q16"/>
    <mergeCell ref="B10:S10"/>
    <mergeCell ref="B11:S11"/>
    <mergeCell ref="B12:S12"/>
    <mergeCell ref="B13:L13"/>
    <mergeCell ref="M13:Q13"/>
    <mergeCell ref="R13:T13"/>
    <mergeCell ref="C7:H7"/>
    <mergeCell ref="J7:N7"/>
    <mergeCell ref="P7:T7"/>
    <mergeCell ref="B8:H8"/>
    <mergeCell ref="I8:N8"/>
    <mergeCell ref="O8:T8"/>
    <mergeCell ref="C3:E3"/>
    <mergeCell ref="I3:M3"/>
    <mergeCell ref="Q3:S3"/>
    <mergeCell ref="C4:C5"/>
    <mergeCell ref="I4:I5"/>
    <mergeCell ref="J4:M5"/>
    <mergeCell ref="Q4:Q5"/>
    <mergeCell ref="R4:S5"/>
  </mergeCells>
  <pageMargins left="0.7" right="0.7" top="0.75" bottom="0.75" header="0.3" footer="0.3"/>
  <pageSetup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C33"/>
  <sheetViews>
    <sheetView showGridLines="0" view="pageBreakPreview" zoomScale="75" zoomScaleNormal="75" zoomScaleSheetLayoutView="75" workbookViewId="0">
      <pane ySplit="12" topLeftCell="A13" activePane="bottomLeft" state="frozen"/>
      <selection pane="bottomLeft" activeCell="B15" sqref="B15"/>
    </sheetView>
  </sheetViews>
  <sheetFormatPr baseColWidth="10" defaultColWidth="11.42578125" defaultRowHeight="15" x14ac:dyDescent="0.25"/>
  <cols>
    <col min="1" max="1" width="31" style="1" bestFit="1" customWidth="1"/>
    <col min="2" max="2" width="40.7109375" style="1" bestFit="1" customWidth="1"/>
    <col min="3" max="3" width="14.5703125" style="1" bestFit="1" customWidth="1"/>
    <col min="4" max="5" width="11.42578125" style="1"/>
    <col min="6" max="6" width="15.140625" style="1" bestFit="1" customWidth="1"/>
    <col min="7" max="16384" width="11.42578125" style="1"/>
  </cols>
  <sheetData>
    <row r="6" spans="1:3" ht="20.25" x14ac:dyDescent="0.3">
      <c r="A6" s="431" t="s">
        <v>2</v>
      </c>
      <c r="B6" s="431"/>
    </row>
    <row r="8" spans="1:3" x14ac:dyDescent="0.25">
      <c r="A8" s="59" t="s">
        <v>3</v>
      </c>
      <c r="B8" s="59"/>
    </row>
    <row r="9" spans="1:3" x14ac:dyDescent="0.25">
      <c r="A9" s="59" t="s">
        <v>4</v>
      </c>
      <c r="B9" s="59"/>
    </row>
    <row r="10" spans="1:3" x14ac:dyDescent="0.25">
      <c r="A10" s="59" t="s">
        <v>5</v>
      </c>
      <c r="B10" s="59"/>
    </row>
    <row r="11" spans="1:3" x14ac:dyDescent="0.25">
      <c r="A11" s="59" t="s">
        <v>436</v>
      </c>
    </row>
    <row r="12" spans="1:3" x14ac:dyDescent="0.25">
      <c r="A12" s="112" t="s">
        <v>6</v>
      </c>
      <c r="B12" s="112" t="s">
        <v>7</v>
      </c>
      <c r="C12" s="112" t="s">
        <v>8</v>
      </c>
    </row>
    <row r="13" spans="1:3" x14ac:dyDescent="0.25">
      <c r="A13" s="61" t="s">
        <v>473</v>
      </c>
      <c r="B13" s="60"/>
      <c r="C13" s="60"/>
    </row>
    <row r="14" spans="1:3" x14ac:dyDescent="0.25">
      <c r="A14" s="61" t="s">
        <v>9</v>
      </c>
      <c r="B14" s="60" t="s">
        <v>10</v>
      </c>
      <c r="C14" s="60"/>
    </row>
    <row r="15" spans="1:3" x14ac:dyDescent="0.25">
      <c r="A15" s="61" t="s">
        <v>11</v>
      </c>
      <c r="B15" s="60" t="s">
        <v>12</v>
      </c>
      <c r="C15" s="60"/>
    </row>
    <row r="16" spans="1:3" x14ac:dyDescent="0.25">
      <c r="A16" s="61" t="s">
        <v>13</v>
      </c>
      <c r="B16" s="60" t="s">
        <v>14</v>
      </c>
      <c r="C16" s="60"/>
    </row>
    <row r="17" spans="1:3" x14ac:dyDescent="0.25">
      <c r="A17" s="61" t="s">
        <v>15</v>
      </c>
      <c r="B17" s="60" t="s">
        <v>16</v>
      </c>
      <c r="C17" s="60"/>
    </row>
    <row r="18" spans="1:3" x14ac:dyDescent="0.25">
      <c r="A18" s="61" t="s">
        <v>472</v>
      </c>
      <c r="B18" s="60"/>
      <c r="C18" s="60"/>
    </row>
    <row r="19" spans="1:3" x14ac:dyDescent="0.25">
      <c r="A19" s="61" t="s">
        <v>992</v>
      </c>
      <c r="B19" s="60"/>
      <c r="C19" s="103"/>
    </row>
    <row r="20" spans="1:3" x14ac:dyDescent="0.25">
      <c r="A20" s="60"/>
      <c r="B20" s="60"/>
      <c r="C20" s="103"/>
    </row>
    <row r="21" spans="1:3" x14ac:dyDescent="0.25">
      <c r="A21" s="84"/>
      <c r="B21" s="60"/>
      <c r="C21" s="103"/>
    </row>
    <row r="22" spans="1:3" x14ac:dyDescent="0.25">
      <c r="A22" s="119"/>
      <c r="B22" s="119"/>
      <c r="C22" s="120"/>
    </row>
    <row r="23" spans="1:3" x14ac:dyDescent="0.25">
      <c r="B23" s="59" t="s">
        <v>17</v>
      </c>
      <c r="C23" s="104">
        <f>SUM(C19:C22)</f>
        <v>0</v>
      </c>
    </row>
    <row r="25" spans="1:3" x14ac:dyDescent="0.25">
      <c r="B25" s="112" t="s">
        <v>20</v>
      </c>
      <c r="C25" s="112" t="s">
        <v>8</v>
      </c>
    </row>
    <row r="26" spans="1:3" x14ac:dyDescent="0.25">
      <c r="B26" s="69" t="s">
        <v>474</v>
      </c>
      <c r="C26" s="113">
        <f>+'F-29'!S118</f>
        <v>142364.14000000001</v>
      </c>
    </row>
    <row r="27" spans="1:3" x14ac:dyDescent="0.25">
      <c r="B27" s="69"/>
      <c r="C27" s="113"/>
    </row>
    <row r="28" spans="1:3" x14ac:dyDescent="0.25">
      <c r="B28" s="69"/>
      <c r="C28" s="113"/>
    </row>
    <row r="29" spans="1:3" x14ac:dyDescent="0.25">
      <c r="B29" s="69"/>
      <c r="C29" s="113"/>
    </row>
    <row r="30" spans="1:3" x14ac:dyDescent="0.25">
      <c r="B30" s="114" t="s">
        <v>17</v>
      </c>
      <c r="C30" s="122">
        <f>SUM(C26:C29)</f>
        <v>142364.14000000001</v>
      </c>
    </row>
    <row r="32" spans="1:3" x14ac:dyDescent="0.25">
      <c r="A32" s="108" t="s">
        <v>18</v>
      </c>
      <c r="B32" s="108"/>
      <c r="C32" s="121"/>
    </row>
    <row r="33" spans="1:1" x14ac:dyDescent="0.25">
      <c r="A33" s="1" t="s">
        <v>19</v>
      </c>
    </row>
  </sheetData>
  <mergeCells count="1">
    <mergeCell ref="A6:B6"/>
  </mergeCells>
  <hyperlinks>
    <hyperlink ref="A13" location="'F-29'!A1" display="F-29" xr:uid="{00000000-0004-0000-0100-000000000000}"/>
    <hyperlink ref="A14" location="Resumen!A1" display="Resumen Libros" xr:uid="{00000000-0004-0000-0100-000001000000}"/>
    <hyperlink ref="A15" location="'LV SII'!A1" display="Registro Venta" xr:uid="{00000000-0004-0000-0100-000002000000}"/>
    <hyperlink ref="A16" location="'LC SII'!A1" display="Registro Compra" xr:uid="{00000000-0004-0000-0100-000003000000}"/>
    <hyperlink ref="A18" location="'RCF-PPM'!A1" display="RCF-PPM" xr:uid="{00000000-0004-0000-0100-000006000000}"/>
    <hyperlink ref="A17" location="'LH SII'!A1" display="Informe Honorarios" xr:uid="{00000000-0004-0000-0100-00000A000000}"/>
    <hyperlink ref="A19" location="'RCF-PPM'!A1" display="RCF-PPM" xr:uid="{D2CED306-8BE1-42D9-BCD8-5618B4D86D9D}"/>
  </hyperlinks>
  <pageMargins left="0.7" right="0.7" top="0.75" bottom="0.75" header="0.3" footer="0.3"/>
  <pageSetup scale="8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FC9EA-1159-43AB-AD2F-81527F48B53D}">
  <sheetPr>
    <tabColor rgb="FF00B0F0"/>
  </sheetPr>
  <dimension ref="B2:AA224"/>
  <sheetViews>
    <sheetView showGridLines="0" view="pageBreakPreview" zoomScale="80" zoomScaleNormal="75" zoomScaleSheetLayoutView="80" workbookViewId="0">
      <pane ySplit="8" topLeftCell="A27" activePane="bottomLeft" state="frozen"/>
      <selection pane="bottomLeft" activeCell="S34" sqref="S34"/>
    </sheetView>
  </sheetViews>
  <sheetFormatPr baseColWidth="10" defaultColWidth="11.42578125" defaultRowHeight="15" x14ac:dyDescent="0.25"/>
  <cols>
    <col min="1" max="1" width="3.5703125" style="1" customWidth="1"/>
    <col min="2" max="2" width="4.7109375" style="1" bestFit="1" customWidth="1"/>
    <col min="3" max="3" width="14.42578125" style="1" customWidth="1"/>
    <col min="4" max="5" width="11.42578125" style="1"/>
    <col min="6" max="7" width="4.7109375" style="1" bestFit="1" customWidth="1"/>
    <col min="8" max="8" width="11.42578125" style="1"/>
    <col min="9" max="9" width="5.28515625" style="1" bestFit="1" customWidth="1"/>
    <col min="10" max="10" width="4.7109375" style="1" bestFit="1" customWidth="1"/>
    <col min="11" max="11" width="21.140625" style="1" customWidth="1"/>
    <col min="12" max="12" width="11.42578125" style="1"/>
    <col min="13" max="13" width="6.85546875" style="1" customWidth="1"/>
    <col min="14" max="14" width="8.28515625" style="1" bestFit="1" customWidth="1"/>
    <col min="15" max="15" width="4.7109375" style="1" bestFit="1" customWidth="1"/>
    <col min="16" max="16" width="17.5703125" style="1" customWidth="1"/>
    <col min="17" max="17" width="2.42578125" style="1" bestFit="1" customWidth="1"/>
    <col min="18" max="18" width="4.7109375" style="1" bestFit="1" customWidth="1"/>
    <col min="19" max="19" width="17.85546875" style="1" customWidth="1"/>
    <col min="20" max="20" width="2.42578125" style="1" bestFit="1" customWidth="1"/>
    <col min="21" max="21" width="11.42578125" style="1"/>
    <col min="22" max="22" width="6.5703125" style="1" customWidth="1"/>
    <col min="23" max="16384" width="11.42578125" style="1"/>
  </cols>
  <sheetData>
    <row r="2" spans="2:20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x14ac:dyDescent="0.25">
      <c r="B3" s="3"/>
      <c r="C3" s="551" t="s">
        <v>21</v>
      </c>
      <c r="D3" s="552"/>
      <c r="E3" s="553"/>
      <c r="F3" s="3"/>
      <c r="G3" s="3"/>
      <c r="H3" s="3"/>
      <c r="I3" s="551" t="s">
        <v>22</v>
      </c>
      <c r="J3" s="552"/>
      <c r="K3" s="552"/>
      <c r="L3" s="552"/>
      <c r="M3" s="553"/>
      <c r="N3" s="3"/>
      <c r="O3" s="3"/>
      <c r="P3" s="3"/>
      <c r="Q3" s="551" t="s">
        <v>23</v>
      </c>
      <c r="R3" s="552"/>
      <c r="S3" s="553"/>
      <c r="T3" s="3"/>
    </row>
    <row r="4" spans="2:20" x14ac:dyDescent="0.25">
      <c r="B4" s="2"/>
      <c r="C4" s="554">
        <v>15</v>
      </c>
      <c r="D4" s="123" t="s">
        <v>24</v>
      </c>
      <c r="E4" s="4" t="s">
        <v>25</v>
      </c>
      <c r="F4" s="2"/>
      <c r="G4" s="2"/>
      <c r="H4" s="2"/>
      <c r="I4" s="554">
        <v>3</v>
      </c>
      <c r="J4" s="556">
        <f>+Indice!B9</f>
        <v>0</v>
      </c>
      <c r="K4" s="556"/>
      <c r="L4" s="556"/>
      <c r="M4" s="557"/>
      <c r="N4" s="2"/>
      <c r="O4" s="2"/>
      <c r="P4" s="2"/>
      <c r="Q4" s="554">
        <v>7</v>
      </c>
      <c r="R4" s="560"/>
      <c r="S4" s="561"/>
      <c r="T4" s="2"/>
    </row>
    <row r="5" spans="2:20" ht="15.75" thickBot="1" x14ac:dyDescent="0.3">
      <c r="B5" s="2"/>
      <c r="C5" s="555"/>
      <c r="D5" s="5">
        <v>9</v>
      </c>
      <c r="E5" s="6">
        <v>2024</v>
      </c>
      <c r="F5" s="2"/>
      <c r="G5" s="2"/>
      <c r="H5" s="2"/>
      <c r="I5" s="555"/>
      <c r="J5" s="558"/>
      <c r="K5" s="558"/>
      <c r="L5" s="558"/>
      <c r="M5" s="559"/>
      <c r="N5" s="2"/>
      <c r="O5" s="2"/>
      <c r="P5" s="2"/>
      <c r="Q5" s="555"/>
      <c r="R5" s="562"/>
      <c r="S5" s="563"/>
      <c r="T5" s="2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25">
      <c r="B7" s="7">
        <v>1</v>
      </c>
      <c r="C7" s="485" t="s">
        <v>26</v>
      </c>
      <c r="D7" s="485"/>
      <c r="E7" s="485"/>
      <c r="F7" s="485"/>
      <c r="G7" s="485"/>
      <c r="H7" s="485"/>
      <c r="I7" s="8">
        <v>2</v>
      </c>
      <c r="J7" s="485" t="s">
        <v>27</v>
      </c>
      <c r="K7" s="485"/>
      <c r="L7" s="485"/>
      <c r="M7" s="485"/>
      <c r="N7" s="485"/>
      <c r="O7" s="8">
        <v>5</v>
      </c>
      <c r="P7" s="485" t="s">
        <v>28</v>
      </c>
      <c r="Q7" s="485"/>
      <c r="R7" s="485"/>
      <c r="S7" s="485"/>
      <c r="T7" s="498"/>
    </row>
    <row r="8" spans="2:20" ht="15.75" thickBot="1" x14ac:dyDescent="0.3">
      <c r="B8" s="564"/>
      <c r="C8" s="562"/>
      <c r="D8" s="562"/>
      <c r="E8" s="562"/>
      <c r="F8" s="562"/>
      <c r="G8" s="562"/>
      <c r="H8" s="562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6"/>
    </row>
    <row r="9" spans="2:20" ht="15.75" thickBot="1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x14ac:dyDescent="0.25">
      <c r="B10" s="484" t="s">
        <v>29</v>
      </c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6"/>
    </row>
    <row r="11" spans="2:20" x14ac:dyDescent="0.25">
      <c r="B11" s="518" t="s">
        <v>30</v>
      </c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47"/>
    </row>
    <row r="12" spans="2:20" x14ac:dyDescent="0.25">
      <c r="B12" s="518" t="s">
        <v>31</v>
      </c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47"/>
    </row>
    <row r="13" spans="2:20" x14ac:dyDescent="0.25">
      <c r="B13" s="503" t="s">
        <v>32</v>
      </c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 t="s">
        <v>33</v>
      </c>
      <c r="N13" s="504"/>
      <c r="O13" s="504"/>
      <c r="P13" s="504"/>
      <c r="Q13" s="504"/>
      <c r="R13" s="504" t="s">
        <v>34</v>
      </c>
      <c r="S13" s="504"/>
      <c r="T13" s="505"/>
    </row>
    <row r="14" spans="2:20" x14ac:dyDescent="0.25">
      <c r="B14" s="49">
        <v>1</v>
      </c>
      <c r="C14" s="471" t="s">
        <v>35</v>
      </c>
      <c r="D14" s="471"/>
      <c r="E14" s="471"/>
      <c r="F14" s="471"/>
      <c r="G14" s="471"/>
      <c r="H14" s="471"/>
      <c r="I14" s="471"/>
      <c r="J14" s="471"/>
      <c r="K14" s="471"/>
      <c r="L14" s="471"/>
      <c r="M14" s="125">
        <v>585</v>
      </c>
      <c r="N14" s="506"/>
      <c r="O14" s="506"/>
      <c r="P14" s="506"/>
      <c r="Q14" s="506"/>
      <c r="R14" s="125">
        <v>20</v>
      </c>
      <c r="S14" s="127"/>
      <c r="T14" s="48"/>
    </row>
    <row r="15" spans="2:20" x14ac:dyDescent="0.25">
      <c r="B15" s="49">
        <v>2</v>
      </c>
      <c r="C15" s="471" t="s">
        <v>36</v>
      </c>
      <c r="D15" s="471"/>
      <c r="E15" s="471"/>
      <c r="F15" s="471"/>
      <c r="G15" s="471"/>
      <c r="H15" s="471"/>
      <c r="I15" s="471"/>
      <c r="J15" s="471"/>
      <c r="K15" s="471"/>
      <c r="L15" s="471"/>
      <c r="M15" s="125">
        <v>586</v>
      </c>
      <c r="N15" s="541"/>
      <c r="O15" s="541"/>
      <c r="P15" s="541"/>
      <c r="Q15" s="541"/>
      <c r="R15" s="125">
        <v>142</v>
      </c>
      <c r="S15" s="129"/>
      <c r="T15" s="48"/>
    </row>
    <row r="16" spans="2:20" x14ac:dyDescent="0.25">
      <c r="B16" s="49">
        <v>3</v>
      </c>
      <c r="C16" s="471" t="s">
        <v>37</v>
      </c>
      <c r="D16" s="471"/>
      <c r="E16" s="471"/>
      <c r="F16" s="471"/>
      <c r="G16" s="471"/>
      <c r="H16" s="471"/>
      <c r="I16" s="471"/>
      <c r="J16" s="471"/>
      <c r="K16" s="471"/>
      <c r="L16" s="471"/>
      <c r="M16" s="125">
        <v>731</v>
      </c>
      <c r="N16" s="506"/>
      <c r="O16" s="506"/>
      <c r="P16" s="506"/>
      <c r="Q16" s="506"/>
      <c r="R16" s="125">
        <v>732</v>
      </c>
      <c r="S16" s="127"/>
      <c r="T16" s="48"/>
    </row>
    <row r="17" spans="2:20" x14ac:dyDescent="0.25">
      <c r="B17" s="49">
        <v>4</v>
      </c>
      <c r="C17" s="471" t="s">
        <v>38</v>
      </c>
      <c r="D17" s="471"/>
      <c r="E17" s="471"/>
      <c r="F17" s="471"/>
      <c r="G17" s="471"/>
      <c r="H17" s="471"/>
      <c r="I17" s="471"/>
      <c r="J17" s="471"/>
      <c r="K17" s="471"/>
      <c r="L17" s="471"/>
      <c r="M17" s="125">
        <v>714</v>
      </c>
      <c r="N17" s="506"/>
      <c r="O17" s="506"/>
      <c r="P17" s="506"/>
      <c r="Q17" s="506"/>
      <c r="R17" s="125">
        <v>715</v>
      </c>
      <c r="S17" s="127"/>
      <c r="T17" s="48"/>
    </row>
    <row r="18" spans="2:20" x14ac:dyDescent="0.25">
      <c r="B18" s="49">
        <v>5</v>
      </c>
      <c r="C18" s="471" t="s">
        <v>39</v>
      </c>
      <c r="D18" s="471"/>
      <c r="E18" s="471"/>
      <c r="F18" s="471"/>
      <c r="G18" s="471"/>
      <c r="H18" s="471"/>
      <c r="I18" s="471"/>
      <c r="J18" s="471"/>
      <c r="K18" s="471"/>
      <c r="L18" s="471"/>
      <c r="M18" s="125">
        <v>515</v>
      </c>
      <c r="N18" s="506"/>
      <c r="O18" s="506"/>
      <c r="P18" s="506"/>
      <c r="Q18" s="506"/>
      <c r="R18" s="125">
        <v>587</v>
      </c>
      <c r="S18" s="127"/>
      <c r="T18" s="48"/>
    </row>
    <row r="19" spans="2:20" x14ac:dyDescent="0.25">
      <c r="B19" s="49">
        <v>6</v>
      </c>
      <c r="C19" s="471" t="s">
        <v>40</v>
      </c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125">
        <v>720</v>
      </c>
      <c r="S19" s="127"/>
      <c r="T19" s="48"/>
    </row>
    <row r="20" spans="2:20" x14ac:dyDescent="0.25">
      <c r="B20" s="503" t="s">
        <v>41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 t="s">
        <v>33</v>
      </c>
      <c r="N20" s="504"/>
      <c r="O20" s="504"/>
      <c r="P20" s="504"/>
      <c r="Q20" s="504"/>
      <c r="R20" s="504" t="s">
        <v>42</v>
      </c>
      <c r="S20" s="504"/>
      <c r="T20" s="47"/>
    </row>
    <row r="21" spans="2:20" x14ac:dyDescent="0.25">
      <c r="B21" s="49">
        <v>7</v>
      </c>
      <c r="C21" s="471" t="s">
        <v>43</v>
      </c>
      <c r="D21" s="471"/>
      <c r="E21" s="471"/>
      <c r="F21" s="471"/>
      <c r="G21" s="471"/>
      <c r="H21" s="471"/>
      <c r="I21" s="471"/>
      <c r="J21" s="471"/>
      <c r="K21" s="471"/>
      <c r="L21" s="471"/>
      <c r="M21" s="125">
        <v>503</v>
      </c>
      <c r="N21" s="541"/>
      <c r="O21" s="541"/>
      <c r="P21" s="541"/>
      <c r="Q21" s="541"/>
      <c r="R21" s="125">
        <v>502</v>
      </c>
      <c r="S21" s="129"/>
      <c r="T21" s="48" t="s">
        <v>44</v>
      </c>
    </row>
    <row r="22" spans="2:20" x14ac:dyDescent="0.25">
      <c r="B22" s="49">
        <v>8</v>
      </c>
      <c r="C22" s="471" t="s">
        <v>45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125">
        <v>763</v>
      </c>
      <c r="N22" s="506"/>
      <c r="O22" s="506"/>
      <c r="P22" s="506"/>
      <c r="Q22" s="506"/>
      <c r="R22" s="125">
        <v>764</v>
      </c>
      <c r="S22" s="129"/>
      <c r="T22" s="48" t="s">
        <v>44</v>
      </c>
    </row>
    <row r="23" spans="2:20" x14ac:dyDescent="0.25">
      <c r="B23" s="49">
        <v>9</v>
      </c>
      <c r="C23" s="471" t="s">
        <v>46</v>
      </c>
      <c r="D23" s="471"/>
      <c r="E23" s="471"/>
      <c r="F23" s="471"/>
      <c r="G23" s="471"/>
      <c r="H23" s="471"/>
      <c r="I23" s="471"/>
      <c r="J23" s="471"/>
      <c r="K23" s="471"/>
      <c r="L23" s="471"/>
      <c r="M23" s="125">
        <v>716</v>
      </c>
      <c r="N23" s="506"/>
      <c r="O23" s="506"/>
      <c r="P23" s="506"/>
      <c r="Q23" s="506"/>
      <c r="R23" s="125">
        <v>717</v>
      </c>
      <c r="S23" s="129"/>
      <c r="T23" s="48" t="s">
        <v>44</v>
      </c>
    </row>
    <row r="24" spans="2:20" x14ac:dyDescent="0.25">
      <c r="B24" s="49">
        <v>10</v>
      </c>
      <c r="C24" s="471" t="s">
        <v>47</v>
      </c>
      <c r="D24" s="471"/>
      <c r="E24" s="471"/>
      <c r="F24" s="471"/>
      <c r="G24" s="471"/>
      <c r="H24" s="471"/>
      <c r="I24" s="471"/>
      <c r="J24" s="471"/>
      <c r="K24" s="471"/>
      <c r="L24" s="471"/>
      <c r="M24" s="125">
        <v>110</v>
      </c>
      <c r="N24" s="541"/>
      <c r="O24" s="541"/>
      <c r="P24" s="541"/>
      <c r="Q24" s="541"/>
      <c r="R24" s="125">
        <v>111</v>
      </c>
      <c r="S24" s="129"/>
      <c r="T24" s="48" t="s">
        <v>44</v>
      </c>
    </row>
    <row r="25" spans="2:20" x14ac:dyDescent="0.25">
      <c r="B25" s="49">
        <v>11</v>
      </c>
      <c r="C25" s="471" t="s">
        <v>48</v>
      </c>
      <c r="D25" s="471"/>
      <c r="E25" s="471"/>
      <c r="F25" s="471"/>
      <c r="G25" s="471"/>
      <c r="H25" s="471"/>
      <c r="I25" s="471"/>
      <c r="J25" s="471"/>
      <c r="K25" s="471"/>
      <c r="L25" s="471"/>
      <c r="M25" s="125">
        <v>758</v>
      </c>
      <c r="N25" s="541"/>
      <c r="O25" s="541"/>
      <c r="P25" s="541"/>
      <c r="Q25" s="541"/>
      <c r="R25" s="125">
        <v>759</v>
      </c>
      <c r="S25" s="129"/>
      <c r="T25" s="48" t="s">
        <v>44</v>
      </c>
    </row>
    <row r="26" spans="2:20" x14ac:dyDescent="0.25">
      <c r="B26" s="49">
        <v>12</v>
      </c>
      <c r="C26" s="471" t="s">
        <v>49</v>
      </c>
      <c r="D26" s="471"/>
      <c r="E26" s="471"/>
      <c r="F26" s="471"/>
      <c r="G26" s="471"/>
      <c r="H26" s="471"/>
      <c r="I26" s="471"/>
      <c r="J26" s="471"/>
      <c r="K26" s="471"/>
      <c r="L26" s="471"/>
      <c r="M26" s="125">
        <v>512</v>
      </c>
      <c r="N26" s="541"/>
      <c r="O26" s="541"/>
      <c r="P26" s="541"/>
      <c r="Q26" s="541"/>
      <c r="R26" s="125">
        <v>513</v>
      </c>
      <c r="S26" s="129"/>
      <c r="T26" s="48" t="s">
        <v>44</v>
      </c>
    </row>
    <row r="27" spans="2:20" x14ac:dyDescent="0.25">
      <c r="B27" s="49">
        <v>13</v>
      </c>
      <c r="C27" s="471" t="s">
        <v>50</v>
      </c>
      <c r="D27" s="471"/>
      <c r="E27" s="471"/>
      <c r="F27" s="471"/>
      <c r="G27" s="471"/>
      <c r="H27" s="471"/>
      <c r="I27" s="471"/>
      <c r="J27" s="471"/>
      <c r="K27" s="471"/>
      <c r="L27" s="471"/>
      <c r="M27" s="125">
        <v>509</v>
      </c>
      <c r="N27" s="541"/>
      <c r="O27" s="541"/>
      <c r="P27" s="541"/>
      <c r="Q27" s="541"/>
      <c r="R27" s="125">
        <v>510</v>
      </c>
      <c r="S27" s="129"/>
      <c r="T27" s="48" t="s">
        <v>51</v>
      </c>
    </row>
    <row r="28" spans="2:20" x14ac:dyDescent="0.25">
      <c r="B28" s="49">
        <v>14</v>
      </c>
      <c r="C28" s="471" t="s">
        <v>52</v>
      </c>
      <c r="D28" s="471"/>
      <c r="E28" s="471"/>
      <c r="F28" s="471"/>
      <c r="G28" s="471"/>
      <c r="H28" s="471"/>
      <c r="I28" s="471"/>
      <c r="J28" s="471"/>
      <c r="K28" s="471"/>
      <c r="L28" s="471"/>
      <c r="M28" s="125">
        <v>708</v>
      </c>
      <c r="N28" s="541"/>
      <c r="O28" s="541"/>
      <c r="P28" s="541"/>
      <c r="Q28" s="541"/>
      <c r="R28" s="125">
        <v>709</v>
      </c>
      <c r="S28" s="129"/>
      <c r="T28" s="48" t="s">
        <v>51</v>
      </c>
    </row>
    <row r="29" spans="2:20" x14ac:dyDescent="0.25">
      <c r="B29" s="49">
        <v>15</v>
      </c>
      <c r="C29" s="471" t="s">
        <v>53</v>
      </c>
      <c r="D29" s="471"/>
      <c r="E29" s="471"/>
      <c r="F29" s="471"/>
      <c r="G29" s="471"/>
      <c r="H29" s="471"/>
      <c r="I29" s="471"/>
      <c r="J29" s="471"/>
      <c r="K29" s="471"/>
      <c r="L29" s="471"/>
      <c r="M29" s="125">
        <v>733</v>
      </c>
      <c r="N29" s="506"/>
      <c r="O29" s="506"/>
      <c r="P29" s="506"/>
      <c r="Q29" s="506"/>
      <c r="R29" s="125">
        <v>734</v>
      </c>
      <c r="S29" s="129"/>
      <c r="T29" s="48" t="s">
        <v>51</v>
      </c>
    </row>
    <row r="30" spans="2:20" x14ac:dyDescent="0.25">
      <c r="B30" s="49">
        <v>16</v>
      </c>
      <c r="C30" s="471" t="s">
        <v>54</v>
      </c>
      <c r="D30" s="471"/>
      <c r="E30" s="471"/>
      <c r="F30" s="471"/>
      <c r="G30" s="471"/>
      <c r="H30" s="471"/>
      <c r="I30" s="471"/>
      <c r="J30" s="471"/>
      <c r="K30" s="471"/>
      <c r="L30" s="471"/>
      <c r="M30" s="125">
        <v>516</v>
      </c>
      <c r="N30" s="506"/>
      <c r="O30" s="506"/>
      <c r="P30" s="506"/>
      <c r="Q30" s="506"/>
      <c r="R30" s="125">
        <v>517</v>
      </c>
      <c r="S30" s="129"/>
      <c r="T30" s="48" t="s">
        <v>44</v>
      </c>
    </row>
    <row r="31" spans="2:20" x14ac:dyDescent="0.25">
      <c r="B31" s="49">
        <v>17</v>
      </c>
      <c r="C31" s="471" t="s">
        <v>55</v>
      </c>
      <c r="D31" s="471"/>
      <c r="E31" s="471"/>
      <c r="F31" s="471"/>
      <c r="G31" s="471"/>
      <c r="H31" s="471"/>
      <c r="I31" s="471"/>
      <c r="J31" s="471"/>
      <c r="K31" s="471"/>
      <c r="L31" s="471"/>
      <c r="M31" s="125">
        <v>500</v>
      </c>
      <c r="N31" s="506"/>
      <c r="O31" s="506"/>
      <c r="P31" s="506"/>
      <c r="Q31" s="506"/>
      <c r="R31" s="125">
        <v>501</v>
      </c>
      <c r="S31" s="129"/>
      <c r="T31" s="48" t="s">
        <v>44</v>
      </c>
    </row>
    <row r="32" spans="2:20" x14ac:dyDescent="0.25">
      <c r="B32" s="49">
        <v>18</v>
      </c>
      <c r="C32" s="471" t="s">
        <v>56</v>
      </c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125">
        <v>154</v>
      </c>
      <c r="S32" s="129"/>
      <c r="T32" s="48" t="s">
        <v>44</v>
      </c>
    </row>
    <row r="33" spans="2:27" x14ac:dyDescent="0.25">
      <c r="B33" s="49">
        <v>19</v>
      </c>
      <c r="C33" s="471" t="s">
        <v>57</v>
      </c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125">
        <v>518</v>
      </c>
      <c r="S33" s="129"/>
      <c r="T33" s="48" t="s">
        <v>44</v>
      </c>
    </row>
    <row r="34" spans="2:27" x14ac:dyDescent="0.25">
      <c r="B34" s="244">
        <v>20</v>
      </c>
      <c r="C34" s="520" t="s">
        <v>58</v>
      </c>
      <c r="D34" s="520"/>
      <c r="E34" s="520"/>
      <c r="F34" s="520"/>
      <c r="G34" s="520"/>
      <c r="H34" s="520"/>
      <c r="I34" s="520"/>
      <c r="J34" s="520"/>
      <c r="K34" s="520"/>
      <c r="L34" s="520"/>
      <c r="M34" s="520"/>
      <c r="N34" s="520"/>
      <c r="O34" s="520"/>
      <c r="P34" s="520"/>
      <c r="Q34" s="520"/>
      <c r="R34" s="245">
        <v>713</v>
      </c>
      <c r="S34" s="283">
        <f>SUM('Ej.4 Bienes R. Art.16 y 17'!C28)</f>
        <v>7327.0404052031781</v>
      </c>
      <c r="T34" s="48" t="s">
        <v>44</v>
      </c>
    </row>
    <row r="35" spans="2:27" x14ac:dyDescent="0.25">
      <c r="B35" s="49">
        <v>21</v>
      </c>
      <c r="C35" s="471" t="s">
        <v>59</v>
      </c>
      <c r="D35" s="471"/>
      <c r="E35" s="471"/>
      <c r="F35" s="124" t="s">
        <v>60</v>
      </c>
      <c r="G35" s="125">
        <v>738</v>
      </c>
      <c r="H35" s="126"/>
      <c r="I35" s="124" t="s">
        <v>61</v>
      </c>
      <c r="J35" s="125">
        <v>739</v>
      </c>
      <c r="K35" s="506"/>
      <c r="L35" s="506"/>
      <c r="M35" s="506"/>
      <c r="N35" s="124" t="s">
        <v>62</v>
      </c>
      <c r="O35" s="125">
        <v>740</v>
      </c>
      <c r="P35" s="506"/>
      <c r="Q35" s="506"/>
      <c r="R35" s="125">
        <v>741</v>
      </c>
      <c r="S35" s="129"/>
      <c r="T35" s="48" t="s">
        <v>44</v>
      </c>
    </row>
    <row r="36" spans="2:27" x14ac:dyDescent="0.25">
      <c r="B36" s="117">
        <v>22</v>
      </c>
      <c r="C36" s="478" t="s">
        <v>63</v>
      </c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479"/>
      <c r="R36" s="118">
        <v>791</v>
      </c>
      <c r="S36" s="130"/>
      <c r="T36" s="48" t="s">
        <v>44</v>
      </c>
    </row>
    <row r="37" spans="2:27" ht="15.75" thickBot="1" x14ac:dyDescent="0.3">
      <c r="B37" s="10">
        <v>23</v>
      </c>
      <c r="C37" s="470" t="s">
        <v>64</v>
      </c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52">
        <v>538</v>
      </c>
      <c r="S37" s="50">
        <f>+S21+S22+S23+S24+S25+S26-S27-S28-S29+S30+S31+S32+S33+S34+S35+S36</f>
        <v>7327.0404052031781</v>
      </c>
      <c r="T37" s="11" t="s">
        <v>65</v>
      </c>
    </row>
    <row r="38" spans="2:27" ht="15.75" thickBot="1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2:27" x14ac:dyDescent="0.25">
      <c r="B39" s="484" t="s">
        <v>66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6"/>
    </row>
    <row r="40" spans="2:27" ht="18" customHeight="1" x14ac:dyDescent="0.25">
      <c r="B40" s="518" t="s">
        <v>67</v>
      </c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47"/>
    </row>
    <row r="41" spans="2:27" ht="27" customHeight="1" x14ac:dyDescent="0.25">
      <c r="B41" s="503" t="s">
        <v>69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 t="s">
        <v>70</v>
      </c>
      <c r="N41" s="504"/>
      <c r="O41" s="504"/>
      <c r="P41" s="504"/>
      <c r="Q41" s="504"/>
      <c r="R41" s="504" t="s">
        <v>71</v>
      </c>
      <c r="S41" s="504"/>
      <c r="T41" s="505"/>
    </row>
    <row r="42" spans="2:27" ht="15" customHeight="1" x14ac:dyDescent="0.25">
      <c r="B42" s="49">
        <v>24</v>
      </c>
      <c r="C42" s="471" t="s">
        <v>74</v>
      </c>
      <c r="D42" s="471"/>
      <c r="E42" s="471"/>
      <c r="F42" s="471"/>
      <c r="G42" s="471"/>
      <c r="H42" s="471"/>
      <c r="I42" s="471"/>
      <c r="J42" s="471"/>
      <c r="K42" s="471"/>
      <c r="L42" s="471"/>
      <c r="M42" s="125">
        <v>511</v>
      </c>
      <c r="N42" s="602"/>
      <c r="O42" s="603"/>
      <c r="P42" s="603"/>
      <c r="Q42" s="604"/>
      <c r="R42" s="125">
        <v>514</v>
      </c>
      <c r="S42" s="277"/>
      <c r="T42" s="48"/>
      <c r="V42" s="77"/>
      <c r="W42" s="77"/>
      <c r="Y42" s="77"/>
      <c r="Z42" s="77"/>
      <c r="AA42" s="77"/>
    </row>
    <row r="43" spans="2:27" x14ac:dyDescent="0.25">
      <c r="B43" s="518" t="s">
        <v>75</v>
      </c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47"/>
    </row>
    <row r="44" spans="2:27" x14ac:dyDescent="0.25">
      <c r="B44" s="503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 t="s">
        <v>33</v>
      </c>
      <c r="N44" s="504"/>
      <c r="O44" s="504"/>
      <c r="P44" s="504"/>
      <c r="Q44" s="504"/>
      <c r="R44" s="504" t="s">
        <v>34</v>
      </c>
      <c r="S44" s="504"/>
      <c r="T44" s="505"/>
    </row>
    <row r="45" spans="2:27" x14ac:dyDescent="0.25">
      <c r="B45" s="49">
        <v>25</v>
      </c>
      <c r="C45" s="471" t="s">
        <v>78</v>
      </c>
      <c r="D45" s="471"/>
      <c r="E45" s="471"/>
      <c r="F45" s="471"/>
      <c r="G45" s="471"/>
      <c r="H45" s="471"/>
      <c r="I45" s="471"/>
      <c r="J45" s="471"/>
      <c r="K45" s="471"/>
      <c r="L45" s="471"/>
      <c r="M45" s="125">
        <v>564</v>
      </c>
      <c r="N45" s="541"/>
      <c r="O45" s="541"/>
      <c r="P45" s="541"/>
      <c r="Q45" s="541"/>
      <c r="R45" s="125">
        <v>521</v>
      </c>
      <c r="S45" s="132"/>
      <c r="T45" s="48"/>
      <c r="U45" s="78"/>
      <c r="V45" s="78"/>
      <c r="W45" s="78"/>
      <c r="X45" s="78"/>
      <c r="Y45" s="78"/>
    </row>
    <row r="46" spans="2:27" x14ac:dyDescent="0.25">
      <c r="B46" s="49">
        <v>26</v>
      </c>
      <c r="C46" s="471" t="s">
        <v>79</v>
      </c>
      <c r="D46" s="471"/>
      <c r="E46" s="471"/>
      <c r="F46" s="471"/>
      <c r="G46" s="471"/>
      <c r="H46" s="471"/>
      <c r="I46" s="471"/>
      <c r="J46" s="471"/>
      <c r="K46" s="471"/>
      <c r="L46" s="471"/>
      <c r="M46" s="125">
        <v>566</v>
      </c>
      <c r="N46" s="506"/>
      <c r="O46" s="506"/>
      <c r="P46" s="506"/>
      <c r="Q46" s="506"/>
      <c r="R46" s="125">
        <v>560</v>
      </c>
      <c r="S46" s="127"/>
      <c r="T46" s="48"/>
    </row>
    <row r="47" spans="2:27" x14ac:dyDescent="0.25">
      <c r="B47" s="49">
        <v>27</v>
      </c>
      <c r="C47" s="471" t="s">
        <v>80</v>
      </c>
      <c r="D47" s="471"/>
      <c r="E47" s="471"/>
      <c r="F47" s="471"/>
      <c r="G47" s="471"/>
      <c r="H47" s="471"/>
      <c r="I47" s="471"/>
      <c r="J47" s="471"/>
      <c r="K47" s="471"/>
      <c r="L47" s="471"/>
      <c r="M47" s="125">
        <v>584</v>
      </c>
      <c r="N47" s="541"/>
      <c r="O47" s="541"/>
      <c r="P47" s="541"/>
      <c r="Q47" s="541"/>
      <c r="R47" s="125">
        <v>562</v>
      </c>
      <c r="S47" s="132"/>
      <c r="T47" s="48"/>
    </row>
    <row r="48" spans="2:27" x14ac:dyDescent="0.25">
      <c r="B48" s="518" t="s">
        <v>81</v>
      </c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47"/>
    </row>
    <row r="49" spans="2:20" x14ac:dyDescent="0.25">
      <c r="B49" s="518" t="s">
        <v>82</v>
      </c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47"/>
    </row>
    <row r="50" spans="2:20" ht="30" customHeight="1" x14ac:dyDescent="0.25">
      <c r="B50" s="503"/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 t="s">
        <v>33</v>
      </c>
      <c r="N50" s="504"/>
      <c r="O50" s="504"/>
      <c r="P50" s="504"/>
      <c r="Q50" s="504"/>
      <c r="R50" s="504" t="s">
        <v>83</v>
      </c>
      <c r="S50" s="504"/>
      <c r="T50" s="505"/>
    </row>
    <row r="51" spans="2:20" x14ac:dyDescent="0.25">
      <c r="B51" s="49">
        <v>28</v>
      </c>
      <c r="C51" s="471" t="s">
        <v>84</v>
      </c>
      <c r="D51" s="471"/>
      <c r="E51" s="471"/>
      <c r="F51" s="471"/>
      <c r="G51" s="471"/>
      <c r="H51" s="471"/>
      <c r="I51" s="471"/>
      <c r="J51" s="471"/>
      <c r="K51" s="471"/>
      <c r="L51" s="471"/>
      <c r="M51" s="125">
        <v>519</v>
      </c>
      <c r="N51" s="541"/>
      <c r="O51" s="541"/>
      <c r="P51" s="541"/>
      <c r="Q51" s="541"/>
      <c r="R51" s="125">
        <v>520</v>
      </c>
      <c r="S51" s="132"/>
      <c r="T51" s="48" t="s">
        <v>44</v>
      </c>
    </row>
    <row r="52" spans="2:20" x14ac:dyDescent="0.25">
      <c r="B52" s="49">
        <v>29</v>
      </c>
      <c r="C52" s="471" t="s">
        <v>85</v>
      </c>
      <c r="D52" s="471"/>
      <c r="E52" s="471"/>
      <c r="F52" s="471"/>
      <c r="G52" s="471"/>
      <c r="H52" s="471"/>
      <c r="I52" s="471"/>
      <c r="J52" s="471"/>
      <c r="K52" s="471"/>
      <c r="L52" s="471"/>
      <c r="M52" s="125">
        <v>761</v>
      </c>
      <c r="N52" s="506"/>
      <c r="O52" s="506"/>
      <c r="P52" s="506"/>
      <c r="Q52" s="506"/>
      <c r="R52" s="125">
        <v>762</v>
      </c>
      <c r="S52" s="132"/>
      <c r="T52" s="48" t="s">
        <v>44</v>
      </c>
    </row>
    <row r="53" spans="2:20" x14ac:dyDescent="0.25">
      <c r="B53" s="49">
        <v>30</v>
      </c>
      <c r="C53" s="471" t="s">
        <v>86</v>
      </c>
      <c r="D53" s="471"/>
      <c r="E53" s="471"/>
      <c r="F53" s="471"/>
      <c r="G53" s="471"/>
      <c r="H53" s="471"/>
      <c r="I53" s="471"/>
      <c r="J53" s="471"/>
      <c r="K53" s="471"/>
      <c r="L53" s="471"/>
      <c r="M53" s="125">
        <v>765</v>
      </c>
      <c r="N53" s="506"/>
      <c r="O53" s="506"/>
      <c r="P53" s="506"/>
      <c r="Q53" s="506"/>
      <c r="R53" s="125">
        <v>766</v>
      </c>
      <c r="S53" s="132"/>
      <c r="T53" s="48" t="s">
        <v>44</v>
      </c>
    </row>
    <row r="54" spans="2:20" x14ac:dyDescent="0.25">
      <c r="B54" s="49">
        <v>31</v>
      </c>
      <c r="C54" s="471" t="s">
        <v>87</v>
      </c>
      <c r="D54" s="471"/>
      <c r="E54" s="471"/>
      <c r="F54" s="471"/>
      <c r="G54" s="471"/>
      <c r="H54" s="471"/>
      <c r="I54" s="471"/>
      <c r="J54" s="471"/>
      <c r="K54" s="471"/>
      <c r="L54" s="471"/>
      <c r="M54" s="125">
        <v>524</v>
      </c>
      <c r="N54" s="541"/>
      <c r="O54" s="541"/>
      <c r="P54" s="541"/>
      <c r="Q54" s="541"/>
      <c r="R54" s="125">
        <v>525</v>
      </c>
      <c r="S54" s="132"/>
      <c r="T54" s="48" t="s">
        <v>44</v>
      </c>
    </row>
    <row r="55" spans="2:20" x14ac:dyDescent="0.25">
      <c r="B55" s="49">
        <v>32</v>
      </c>
      <c r="C55" s="471" t="s">
        <v>89</v>
      </c>
      <c r="D55" s="471"/>
      <c r="E55" s="471"/>
      <c r="F55" s="471"/>
      <c r="G55" s="471"/>
      <c r="H55" s="471"/>
      <c r="I55" s="471"/>
      <c r="J55" s="471"/>
      <c r="K55" s="471"/>
      <c r="L55" s="471"/>
      <c r="M55" s="125">
        <v>527</v>
      </c>
      <c r="N55" s="541"/>
      <c r="O55" s="541"/>
      <c r="P55" s="541"/>
      <c r="Q55" s="541"/>
      <c r="R55" s="125">
        <v>528</v>
      </c>
      <c r="S55" s="132"/>
      <c r="T55" s="48" t="s">
        <v>51</v>
      </c>
    </row>
    <row r="56" spans="2:20" x14ac:dyDescent="0.25">
      <c r="B56" s="49">
        <v>33</v>
      </c>
      <c r="C56" s="471" t="s">
        <v>90</v>
      </c>
      <c r="D56" s="471"/>
      <c r="E56" s="471"/>
      <c r="F56" s="471"/>
      <c r="G56" s="471"/>
      <c r="H56" s="471"/>
      <c r="I56" s="471"/>
      <c r="J56" s="471"/>
      <c r="K56" s="471"/>
      <c r="L56" s="471"/>
      <c r="M56" s="125">
        <v>531</v>
      </c>
      <c r="N56" s="506"/>
      <c r="O56" s="506"/>
      <c r="P56" s="506"/>
      <c r="Q56" s="506"/>
      <c r="R56" s="125">
        <v>532</v>
      </c>
      <c r="S56" s="132"/>
      <c r="T56" s="48" t="s">
        <v>44</v>
      </c>
    </row>
    <row r="57" spans="2:20" x14ac:dyDescent="0.25">
      <c r="B57" s="518" t="s">
        <v>91</v>
      </c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47"/>
    </row>
    <row r="58" spans="2:20" ht="15" customHeight="1" x14ac:dyDescent="0.25">
      <c r="B58" s="49">
        <v>34</v>
      </c>
      <c r="C58" s="471" t="s">
        <v>92</v>
      </c>
      <c r="D58" s="471"/>
      <c r="E58" s="471"/>
      <c r="F58" s="471"/>
      <c r="G58" s="471"/>
      <c r="H58" s="471"/>
      <c r="I58" s="471"/>
      <c r="J58" s="471"/>
      <c r="K58" s="471"/>
      <c r="L58" s="471"/>
      <c r="M58" s="125">
        <v>534</v>
      </c>
      <c r="N58" s="506"/>
      <c r="O58" s="506"/>
      <c r="P58" s="506"/>
      <c r="Q58" s="506"/>
      <c r="R58" s="125">
        <v>535</v>
      </c>
      <c r="S58" s="132"/>
      <c r="T58" s="48" t="s">
        <v>44</v>
      </c>
    </row>
    <row r="59" spans="2:20" x14ac:dyDescent="0.25">
      <c r="B59" s="49">
        <v>35</v>
      </c>
      <c r="C59" s="471" t="s">
        <v>93</v>
      </c>
      <c r="D59" s="471"/>
      <c r="E59" s="471"/>
      <c r="F59" s="471"/>
      <c r="G59" s="471"/>
      <c r="H59" s="471"/>
      <c r="I59" s="471"/>
      <c r="J59" s="471"/>
      <c r="K59" s="471"/>
      <c r="L59" s="471"/>
      <c r="M59" s="125">
        <v>536</v>
      </c>
      <c r="N59" s="506"/>
      <c r="O59" s="506"/>
      <c r="P59" s="506"/>
      <c r="Q59" s="506"/>
      <c r="R59" s="125">
        <v>553</v>
      </c>
      <c r="S59" s="132"/>
      <c r="T59" s="48" t="s">
        <v>44</v>
      </c>
    </row>
    <row r="60" spans="2:20" x14ac:dyDescent="0.25">
      <c r="B60" s="49">
        <v>36</v>
      </c>
      <c r="C60" s="471" t="s">
        <v>94</v>
      </c>
      <c r="D60" s="471"/>
      <c r="E60" s="471"/>
      <c r="F60" s="471"/>
      <c r="G60" s="471"/>
      <c r="H60" s="471"/>
      <c r="I60" s="471"/>
      <c r="J60" s="471"/>
      <c r="K60" s="471"/>
      <c r="L60" s="471"/>
      <c r="M60" s="471"/>
      <c r="N60" s="471"/>
      <c r="O60" s="471"/>
      <c r="P60" s="471"/>
      <c r="Q60" s="471"/>
      <c r="R60" s="125">
        <v>504</v>
      </c>
      <c r="S60" s="133"/>
      <c r="T60" s="48" t="s">
        <v>44</v>
      </c>
    </row>
    <row r="61" spans="2:20" x14ac:dyDescent="0.25">
      <c r="B61" s="49">
        <v>37</v>
      </c>
      <c r="C61" s="471" t="s">
        <v>95</v>
      </c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125">
        <v>593</v>
      </c>
      <c r="S61" s="132"/>
      <c r="T61" s="48" t="s">
        <v>51</v>
      </c>
    </row>
    <row r="62" spans="2:20" x14ac:dyDescent="0.25">
      <c r="B62" s="49">
        <v>38</v>
      </c>
      <c r="C62" s="471" t="s">
        <v>96</v>
      </c>
      <c r="D62" s="471"/>
      <c r="E62" s="471"/>
      <c r="F62" s="471"/>
      <c r="G62" s="471"/>
      <c r="H62" s="471"/>
      <c r="I62" s="471"/>
      <c r="J62" s="471"/>
      <c r="K62" s="471"/>
      <c r="L62" s="471"/>
      <c r="M62" s="471"/>
      <c r="N62" s="471"/>
      <c r="O62" s="471"/>
      <c r="P62" s="471"/>
      <c r="Q62" s="471"/>
      <c r="R62" s="125">
        <v>594</v>
      </c>
      <c r="S62" s="132"/>
      <c r="T62" s="48" t="s">
        <v>51</v>
      </c>
    </row>
    <row r="63" spans="2:20" x14ac:dyDescent="0.25">
      <c r="B63" s="49">
        <v>39</v>
      </c>
      <c r="C63" s="471" t="s">
        <v>97</v>
      </c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1"/>
      <c r="R63" s="125">
        <v>592</v>
      </c>
      <c r="S63" s="132"/>
      <c r="T63" s="48" t="s">
        <v>51</v>
      </c>
    </row>
    <row r="64" spans="2:20" x14ac:dyDescent="0.25">
      <c r="B64" s="49">
        <v>40</v>
      </c>
      <c r="C64" s="471" t="s">
        <v>98</v>
      </c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125">
        <v>539</v>
      </c>
      <c r="S64" s="132"/>
      <c r="T64" s="48" t="s">
        <v>51</v>
      </c>
    </row>
    <row r="65" spans="2:20" x14ac:dyDescent="0.25">
      <c r="B65" s="49">
        <v>41</v>
      </c>
      <c r="C65" s="471" t="s">
        <v>99</v>
      </c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1"/>
      <c r="R65" s="125">
        <v>718</v>
      </c>
      <c r="S65" s="132"/>
      <c r="T65" s="48" t="s">
        <v>51</v>
      </c>
    </row>
    <row r="66" spans="2:20" x14ac:dyDescent="0.25">
      <c r="B66" s="49">
        <v>42</v>
      </c>
      <c r="C66" s="471" t="s">
        <v>100</v>
      </c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71"/>
      <c r="O66" s="471"/>
      <c r="P66" s="471"/>
      <c r="Q66" s="471"/>
      <c r="R66" s="125">
        <v>790</v>
      </c>
      <c r="S66" s="132"/>
      <c r="T66" s="48" t="s">
        <v>51</v>
      </c>
    </row>
    <row r="67" spans="2:20" x14ac:dyDescent="0.25">
      <c r="B67" s="49">
        <v>43</v>
      </c>
      <c r="C67" s="471" t="s">
        <v>101</v>
      </c>
      <c r="D67" s="471"/>
      <c r="E67" s="471"/>
      <c r="F67" s="471"/>
      <c r="G67" s="471"/>
      <c r="H67" s="471"/>
      <c r="I67" s="471"/>
      <c r="J67" s="471"/>
      <c r="K67" s="471"/>
      <c r="L67" s="471"/>
      <c r="M67" s="471"/>
      <c r="N67" s="471"/>
      <c r="O67" s="471"/>
      <c r="P67" s="471"/>
      <c r="Q67" s="471"/>
      <c r="R67" s="125">
        <v>164</v>
      </c>
      <c r="S67" s="132"/>
      <c r="T67" s="48" t="s">
        <v>44</v>
      </c>
    </row>
    <row r="68" spans="2:20" x14ac:dyDescent="0.25">
      <c r="B68" s="518" t="s">
        <v>102</v>
      </c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47"/>
    </row>
    <row r="69" spans="2:20" ht="32.25" customHeight="1" x14ac:dyDescent="0.25">
      <c r="B69" s="503"/>
      <c r="C69" s="504"/>
      <c r="D69" s="504"/>
      <c r="E69" s="504"/>
      <c r="F69" s="504"/>
      <c r="G69" s="504"/>
      <c r="H69" s="504"/>
      <c r="I69" s="504"/>
      <c r="J69" s="504" t="s">
        <v>103</v>
      </c>
      <c r="K69" s="504"/>
      <c r="L69" s="504"/>
      <c r="M69" s="504"/>
      <c r="N69" s="504" t="s">
        <v>104</v>
      </c>
      <c r="O69" s="504"/>
      <c r="P69" s="504"/>
      <c r="Q69" s="504"/>
      <c r="R69" s="504"/>
      <c r="S69" s="504"/>
      <c r="T69" s="505"/>
    </row>
    <row r="70" spans="2:20" x14ac:dyDescent="0.25">
      <c r="B70" s="526">
        <v>44</v>
      </c>
      <c r="C70" s="471" t="s">
        <v>105</v>
      </c>
      <c r="D70" s="471"/>
      <c r="E70" s="471"/>
      <c r="F70" s="471"/>
      <c r="G70" s="471"/>
      <c r="H70" s="471"/>
      <c r="I70" s="471"/>
      <c r="J70" s="516">
        <v>730</v>
      </c>
      <c r="K70" s="506"/>
      <c r="L70" s="506"/>
      <c r="M70" s="506"/>
      <c r="N70" s="124" t="s">
        <v>61</v>
      </c>
      <c r="O70" s="125">
        <v>742</v>
      </c>
      <c r="P70" s="506"/>
      <c r="Q70" s="506"/>
      <c r="R70" s="516">
        <v>127</v>
      </c>
      <c r="S70" s="540"/>
      <c r="T70" s="525" t="s">
        <v>44</v>
      </c>
    </row>
    <row r="71" spans="2:20" x14ac:dyDescent="0.25">
      <c r="B71" s="526"/>
      <c r="C71" s="471"/>
      <c r="D71" s="471"/>
      <c r="E71" s="471"/>
      <c r="F71" s="471"/>
      <c r="G71" s="471"/>
      <c r="H71" s="471"/>
      <c r="I71" s="471"/>
      <c r="J71" s="516"/>
      <c r="K71" s="506"/>
      <c r="L71" s="506"/>
      <c r="M71" s="506"/>
      <c r="N71" s="124" t="s">
        <v>62</v>
      </c>
      <c r="O71" s="125">
        <v>743</v>
      </c>
      <c r="P71" s="506"/>
      <c r="Q71" s="506"/>
      <c r="R71" s="516"/>
      <c r="S71" s="540"/>
      <c r="T71" s="525"/>
    </row>
    <row r="72" spans="2:20" x14ac:dyDescent="0.25">
      <c r="B72" s="526">
        <v>45</v>
      </c>
      <c r="C72" s="471" t="s">
        <v>106</v>
      </c>
      <c r="D72" s="471"/>
      <c r="E72" s="471"/>
      <c r="F72" s="471"/>
      <c r="G72" s="471"/>
      <c r="H72" s="471"/>
      <c r="I72" s="471"/>
      <c r="J72" s="516">
        <v>729</v>
      </c>
      <c r="K72" s="506"/>
      <c r="L72" s="506"/>
      <c r="M72" s="506"/>
      <c r="N72" s="124" t="s">
        <v>61</v>
      </c>
      <c r="O72" s="125">
        <v>744</v>
      </c>
      <c r="P72" s="506"/>
      <c r="Q72" s="506"/>
      <c r="R72" s="516">
        <v>544</v>
      </c>
      <c r="S72" s="540"/>
      <c r="T72" s="525" t="s">
        <v>44</v>
      </c>
    </row>
    <row r="73" spans="2:20" x14ac:dyDescent="0.25">
      <c r="B73" s="526"/>
      <c r="C73" s="471"/>
      <c r="D73" s="471"/>
      <c r="E73" s="471"/>
      <c r="F73" s="471"/>
      <c r="G73" s="471"/>
      <c r="H73" s="471"/>
      <c r="I73" s="471"/>
      <c r="J73" s="516"/>
      <c r="K73" s="506"/>
      <c r="L73" s="506"/>
      <c r="M73" s="506"/>
      <c r="N73" s="124" t="s">
        <v>62</v>
      </c>
      <c r="O73" s="125">
        <v>745</v>
      </c>
      <c r="P73" s="506"/>
      <c r="Q73" s="506"/>
      <c r="R73" s="516"/>
      <c r="S73" s="540"/>
      <c r="T73" s="525"/>
    </row>
    <row r="74" spans="2:20" x14ac:dyDescent="0.25">
      <c r="B74" s="49">
        <v>46</v>
      </c>
      <c r="C74" s="471" t="s">
        <v>107</v>
      </c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125">
        <v>523</v>
      </c>
      <c r="S74" s="127"/>
      <c r="T74" s="48" t="s">
        <v>44</v>
      </c>
    </row>
    <row r="75" spans="2:20" x14ac:dyDescent="0.25">
      <c r="B75" s="49">
        <v>47</v>
      </c>
      <c r="C75" s="471" t="s">
        <v>108</v>
      </c>
      <c r="D75" s="471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125">
        <v>712</v>
      </c>
      <c r="S75" s="127"/>
      <c r="T75" s="48" t="s">
        <v>44</v>
      </c>
    </row>
    <row r="76" spans="2:20" x14ac:dyDescent="0.25">
      <c r="B76" s="49">
        <v>48</v>
      </c>
      <c r="C76" s="471" t="s">
        <v>109</v>
      </c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125">
        <v>757</v>
      </c>
      <c r="S76" s="127"/>
      <c r="T76" s="48" t="s">
        <v>44</v>
      </c>
    </row>
    <row r="77" spans="2:20" ht="15.75" thickBot="1" x14ac:dyDescent="0.3">
      <c r="B77" s="10">
        <v>49</v>
      </c>
      <c r="C77" s="470" t="s">
        <v>110</v>
      </c>
      <c r="D77" s="470"/>
      <c r="E77" s="470"/>
      <c r="F77" s="470"/>
      <c r="G77" s="470"/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52">
        <v>537</v>
      </c>
      <c r="S77" s="12">
        <f>+S51+S52+S53+S54+S56-S55+S58+S59+S60+S67-S61-S62-S63-S64-S65+S70+S72+S74+S75+S76-S66</f>
        <v>0</v>
      </c>
      <c r="T77" s="11" t="s">
        <v>65</v>
      </c>
    </row>
    <row r="78" spans="2:20" ht="15.75" thickBot="1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5">
      <c r="B79" s="484" t="s">
        <v>111</v>
      </c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 t="s">
        <v>112</v>
      </c>
      <c r="S79" s="485"/>
      <c r="T79" s="498"/>
    </row>
    <row r="80" spans="2:20" ht="30" customHeight="1" thickBot="1" x14ac:dyDescent="0.3">
      <c r="B80" s="10">
        <v>50</v>
      </c>
      <c r="C80" s="470" t="s">
        <v>113</v>
      </c>
      <c r="D80" s="470"/>
      <c r="E80" s="470"/>
      <c r="F80" s="52">
        <v>77</v>
      </c>
      <c r="G80" s="539">
        <f>IF(S37&gt;S77,0,S77-S37)</f>
        <v>0</v>
      </c>
      <c r="H80" s="539"/>
      <c r="I80" s="52">
        <v>756</v>
      </c>
      <c r="J80" s="470" t="s">
        <v>114</v>
      </c>
      <c r="K80" s="470"/>
      <c r="L80" s="13"/>
      <c r="M80" s="52">
        <v>755</v>
      </c>
      <c r="N80" s="539">
        <f>IF(L80="SI",S37-S77,0)</f>
        <v>0</v>
      </c>
      <c r="O80" s="539"/>
      <c r="P80" s="470" t="s">
        <v>115</v>
      </c>
      <c r="Q80" s="470"/>
      <c r="R80" s="52">
        <v>89</v>
      </c>
      <c r="S80" s="50">
        <f>IF(L80="SI",0,IF(S37&gt;S77,S37-S77,0))</f>
        <v>7327.0404052031781</v>
      </c>
      <c r="T80" s="11" t="s">
        <v>44</v>
      </c>
    </row>
    <row r="81" spans="2:20" x14ac:dyDescent="0.25">
      <c r="B81" s="484" t="s">
        <v>116</v>
      </c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  <c r="N81" s="485"/>
      <c r="O81" s="485"/>
      <c r="P81" s="485"/>
      <c r="Q81" s="485"/>
      <c r="R81" s="485" t="s">
        <v>112</v>
      </c>
      <c r="S81" s="485"/>
      <c r="T81" s="498"/>
    </row>
    <row r="82" spans="2:20" ht="39" customHeight="1" thickBot="1" x14ac:dyDescent="0.3">
      <c r="B82" s="49">
        <v>51</v>
      </c>
      <c r="C82" s="471" t="s">
        <v>117</v>
      </c>
      <c r="D82" s="471"/>
      <c r="E82" s="471"/>
      <c r="F82" s="125">
        <v>772</v>
      </c>
      <c r="G82" s="527"/>
      <c r="H82" s="527"/>
      <c r="I82" s="125">
        <v>773</v>
      </c>
      <c r="J82" s="471" t="s">
        <v>118</v>
      </c>
      <c r="K82" s="471"/>
      <c r="L82" s="136"/>
      <c r="M82" s="125">
        <v>774</v>
      </c>
      <c r="N82" s="527"/>
      <c r="O82" s="527"/>
      <c r="P82" s="471" t="s">
        <v>119</v>
      </c>
      <c r="Q82" s="471"/>
      <c r="R82" s="125">
        <v>775</v>
      </c>
      <c r="S82" s="135"/>
      <c r="T82" s="48" t="s">
        <v>44</v>
      </c>
    </row>
    <row r="83" spans="2:20" ht="27" customHeight="1" x14ac:dyDescent="0.25">
      <c r="B83" s="484" t="s">
        <v>116</v>
      </c>
      <c r="C83" s="485"/>
      <c r="D83" s="485"/>
      <c r="E83" s="485"/>
      <c r="F83" s="485"/>
      <c r="G83" s="485"/>
      <c r="H83" s="485"/>
      <c r="I83" s="485"/>
      <c r="J83" s="485"/>
      <c r="K83" s="485"/>
      <c r="L83" s="485"/>
      <c r="M83" s="485"/>
      <c r="N83" s="485"/>
      <c r="O83" s="485"/>
      <c r="P83" s="485"/>
      <c r="Q83" s="485"/>
      <c r="R83" s="485" t="s">
        <v>112</v>
      </c>
      <c r="S83" s="485"/>
      <c r="T83" s="498"/>
    </row>
    <row r="84" spans="2:20" ht="51" customHeight="1" x14ac:dyDescent="0.25">
      <c r="B84" s="49">
        <v>52</v>
      </c>
      <c r="C84" s="471" t="s">
        <v>120</v>
      </c>
      <c r="D84" s="471"/>
      <c r="E84" s="471"/>
      <c r="F84" s="125">
        <v>777</v>
      </c>
      <c r="G84" s="527"/>
      <c r="H84" s="527"/>
      <c r="I84" s="125">
        <v>778</v>
      </c>
      <c r="J84" s="471" t="s">
        <v>121</v>
      </c>
      <c r="K84" s="471"/>
      <c r="L84" s="136"/>
      <c r="M84" s="125">
        <v>779</v>
      </c>
      <c r="N84" s="527"/>
      <c r="O84" s="527"/>
      <c r="P84" s="471" t="s">
        <v>119</v>
      </c>
      <c r="Q84" s="471"/>
      <c r="R84" s="125">
        <v>780</v>
      </c>
      <c r="S84" s="137"/>
      <c r="T84" s="48" t="s">
        <v>44</v>
      </c>
    </row>
    <row r="85" spans="2:20" x14ac:dyDescent="0.25">
      <c r="B85" s="49">
        <v>53</v>
      </c>
      <c r="C85" s="471" t="s">
        <v>122</v>
      </c>
      <c r="D85" s="471"/>
      <c r="E85" s="471"/>
      <c r="F85" s="125">
        <v>782</v>
      </c>
      <c r="G85" s="527"/>
      <c r="H85" s="527"/>
      <c r="I85" s="528" t="s">
        <v>123</v>
      </c>
      <c r="J85" s="529"/>
      <c r="K85" s="529"/>
      <c r="L85" s="529"/>
      <c r="M85" s="529"/>
      <c r="N85" s="529"/>
      <c r="O85" s="529"/>
      <c r="P85" s="529"/>
      <c r="Q85" s="530"/>
      <c r="R85" s="125">
        <v>783</v>
      </c>
      <c r="S85" s="137"/>
      <c r="T85" s="48" t="s">
        <v>44</v>
      </c>
    </row>
    <row r="86" spans="2:20" x14ac:dyDescent="0.25">
      <c r="B86" s="49">
        <v>54</v>
      </c>
      <c r="C86" s="471" t="s">
        <v>124</v>
      </c>
      <c r="D86" s="471"/>
      <c r="E86" s="471"/>
      <c r="F86" s="125">
        <v>784</v>
      </c>
      <c r="G86" s="527"/>
      <c r="H86" s="527"/>
      <c r="I86" s="528" t="s">
        <v>123</v>
      </c>
      <c r="J86" s="529"/>
      <c r="K86" s="529"/>
      <c r="L86" s="529"/>
      <c r="M86" s="529"/>
      <c r="N86" s="529"/>
      <c r="O86" s="529"/>
      <c r="P86" s="529"/>
      <c r="Q86" s="530"/>
      <c r="R86" s="125">
        <v>785</v>
      </c>
      <c r="S86" s="137"/>
      <c r="T86" s="48" t="s">
        <v>44</v>
      </c>
    </row>
    <row r="87" spans="2:20" x14ac:dyDescent="0.25">
      <c r="B87" s="49">
        <v>55</v>
      </c>
      <c r="C87" s="471" t="s">
        <v>125</v>
      </c>
      <c r="D87" s="471"/>
      <c r="E87" s="471"/>
      <c r="F87" s="125">
        <v>786</v>
      </c>
      <c r="G87" s="527"/>
      <c r="H87" s="527"/>
      <c r="I87" s="528" t="s">
        <v>123</v>
      </c>
      <c r="J87" s="529"/>
      <c r="K87" s="529"/>
      <c r="L87" s="529"/>
      <c r="M87" s="529"/>
      <c r="N87" s="529"/>
      <c r="O87" s="529"/>
      <c r="P87" s="529"/>
      <c r="Q87" s="530"/>
      <c r="R87" s="125">
        <v>787</v>
      </c>
      <c r="S87" s="137"/>
      <c r="T87" s="48" t="s">
        <v>44</v>
      </c>
    </row>
    <row r="88" spans="2:20" ht="15.75" thickBot="1" x14ac:dyDescent="0.3">
      <c r="B88" s="14">
        <v>56</v>
      </c>
      <c r="C88" s="472" t="s">
        <v>126</v>
      </c>
      <c r="D88" s="472"/>
      <c r="E88" s="472"/>
      <c r="F88" s="15">
        <v>788</v>
      </c>
      <c r="G88" s="531"/>
      <c r="H88" s="531"/>
      <c r="I88" s="532" t="s">
        <v>123</v>
      </c>
      <c r="J88" s="533"/>
      <c r="K88" s="533"/>
      <c r="L88" s="533"/>
      <c r="M88" s="533"/>
      <c r="N88" s="533"/>
      <c r="O88" s="533"/>
      <c r="P88" s="533"/>
      <c r="Q88" s="534"/>
      <c r="R88" s="15">
        <v>789</v>
      </c>
      <c r="S88" s="16"/>
      <c r="T88" s="17" t="s">
        <v>44</v>
      </c>
    </row>
    <row r="89" spans="2:20" ht="15.75" thickBot="1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0" x14ac:dyDescent="0.25">
      <c r="B90" s="18">
        <v>57</v>
      </c>
      <c r="C90" s="473" t="s">
        <v>127</v>
      </c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8">
        <v>760</v>
      </c>
      <c r="S90" s="19"/>
      <c r="T90" s="20" t="s">
        <v>44</v>
      </c>
    </row>
    <row r="91" spans="2:20" ht="15.75" thickBot="1" x14ac:dyDescent="0.3">
      <c r="B91" s="14">
        <v>58</v>
      </c>
      <c r="C91" s="472" t="s">
        <v>128</v>
      </c>
      <c r="D91" s="472"/>
      <c r="E91" s="472"/>
      <c r="F91" s="472"/>
      <c r="G91" s="472"/>
      <c r="H91" s="472"/>
      <c r="I91" s="472"/>
      <c r="J91" s="472"/>
      <c r="K91" s="472"/>
      <c r="L91" s="472"/>
      <c r="M91" s="472"/>
      <c r="N91" s="472"/>
      <c r="O91" s="472"/>
      <c r="P91" s="472"/>
      <c r="Q91" s="472"/>
      <c r="R91" s="15">
        <v>767</v>
      </c>
      <c r="S91" s="21"/>
      <c r="T91" s="17" t="s">
        <v>44</v>
      </c>
    </row>
    <row r="92" spans="2:20" ht="15.75" thickBot="1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2:20" x14ac:dyDescent="0.25">
      <c r="B93" s="484" t="s">
        <v>129</v>
      </c>
      <c r="C93" s="485"/>
      <c r="D93" s="485"/>
      <c r="E93" s="485"/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P93" s="485"/>
      <c r="Q93" s="485"/>
      <c r="R93" s="485"/>
      <c r="S93" s="485"/>
      <c r="T93" s="46"/>
    </row>
    <row r="94" spans="2:20" x14ac:dyDescent="0.25">
      <c r="B94" s="518" t="s">
        <v>130</v>
      </c>
      <c r="C94" s="519"/>
      <c r="D94" s="519"/>
      <c r="E94" s="519"/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47"/>
    </row>
    <row r="95" spans="2:20" x14ac:dyDescent="0.25">
      <c r="B95" s="49">
        <v>59</v>
      </c>
      <c r="C95" s="471" t="s">
        <v>131</v>
      </c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125">
        <v>50</v>
      </c>
      <c r="S95" s="127"/>
      <c r="T95" s="48" t="s">
        <v>44</v>
      </c>
    </row>
    <row r="96" spans="2:20" x14ac:dyDescent="0.25">
      <c r="B96" s="526">
        <v>60</v>
      </c>
      <c r="C96" s="471" t="s">
        <v>132</v>
      </c>
      <c r="D96" s="471"/>
      <c r="E96" s="471"/>
      <c r="F96" s="471"/>
      <c r="G96" s="471" t="s">
        <v>133</v>
      </c>
      <c r="H96" s="471"/>
      <c r="I96" s="516">
        <v>751</v>
      </c>
      <c r="J96" s="471" t="s">
        <v>134</v>
      </c>
      <c r="K96" s="471"/>
      <c r="L96" s="471"/>
      <c r="M96" s="516">
        <v>735</v>
      </c>
      <c r="N96" s="471" t="s">
        <v>135</v>
      </c>
      <c r="O96" s="471"/>
      <c r="P96" s="471" t="s">
        <v>136</v>
      </c>
      <c r="Q96" s="471"/>
      <c r="R96" s="516">
        <v>48</v>
      </c>
      <c r="S96" s="524"/>
      <c r="T96" s="525" t="s">
        <v>44</v>
      </c>
    </row>
    <row r="97" spans="2:20" x14ac:dyDescent="0.25">
      <c r="B97" s="526"/>
      <c r="C97" s="471"/>
      <c r="D97" s="471"/>
      <c r="E97" s="471"/>
      <c r="F97" s="471"/>
      <c r="G97" s="471"/>
      <c r="H97" s="471"/>
      <c r="I97" s="516"/>
      <c r="J97" s="506"/>
      <c r="K97" s="506"/>
      <c r="L97" s="506"/>
      <c r="M97" s="516"/>
      <c r="N97" s="506"/>
      <c r="O97" s="506"/>
      <c r="P97" s="471"/>
      <c r="Q97" s="471"/>
      <c r="R97" s="516"/>
      <c r="S97" s="524"/>
      <c r="T97" s="525"/>
    </row>
    <row r="98" spans="2:20" x14ac:dyDescent="0.25">
      <c r="B98" s="49">
        <v>61</v>
      </c>
      <c r="C98" s="471" t="s">
        <v>498</v>
      </c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125">
        <v>151</v>
      </c>
      <c r="S98" s="132"/>
      <c r="T98" s="48" t="s">
        <v>44</v>
      </c>
    </row>
    <row r="99" spans="2:20" x14ac:dyDescent="0.25">
      <c r="B99" s="49">
        <v>62</v>
      </c>
      <c r="C99" s="471" t="s">
        <v>137</v>
      </c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125">
        <v>153</v>
      </c>
      <c r="S99" s="132"/>
      <c r="T99" s="48" t="s">
        <v>44</v>
      </c>
    </row>
    <row r="100" spans="2:20" ht="15" customHeight="1" x14ac:dyDescent="0.25">
      <c r="B100" s="49"/>
      <c r="C100" s="545" t="s">
        <v>475</v>
      </c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7"/>
      <c r="R100" s="188">
        <v>49</v>
      </c>
      <c r="S100" s="189"/>
      <c r="T100" s="48"/>
    </row>
    <row r="101" spans="2:20" x14ac:dyDescent="0.25">
      <c r="B101" s="49"/>
      <c r="C101" s="545" t="s">
        <v>476</v>
      </c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6"/>
      <c r="Q101" s="547"/>
      <c r="R101" s="188">
        <v>155</v>
      </c>
      <c r="S101" s="189"/>
      <c r="T101" s="48"/>
    </row>
    <row r="102" spans="2:20" x14ac:dyDescent="0.25">
      <c r="B102" s="49">
        <v>63</v>
      </c>
      <c r="C102" s="471" t="s">
        <v>138</v>
      </c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125">
        <v>54</v>
      </c>
      <c r="S102" s="132"/>
      <c r="T102" s="48" t="s">
        <v>44</v>
      </c>
    </row>
    <row r="103" spans="2:20" x14ac:dyDescent="0.25">
      <c r="B103" s="49">
        <v>64</v>
      </c>
      <c r="C103" s="471" t="s">
        <v>139</v>
      </c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125">
        <v>56</v>
      </c>
      <c r="S103" s="132"/>
      <c r="T103" s="48" t="s">
        <v>44</v>
      </c>
    </row>
    <row r="104" spans="2:20" x14ac:dyDescent="0.25">
      <c r="B104" s="49">
        <v>65</v>
      </c>
      <c r="C104" s="471" t="s">
        <v>140</v>
      </c>
      <c r="D104" s="471"/>
      <c r="E104" s="471"/>
      <c r="F104" s="471"/>
      <c r="G104" s="471"/>
      <c r="H104" s="471"/>
      <c r="I104" s="471"/>
      <c r="J104" s="471"/>
      <c r="K104" s="471"/>
      <c r="L104" s="471"/>
      <c r="M104" s="471"/>
      <c r="N104" s="471"/>
      <c r="O104" s="471"/>
      <c r="P104" s="471"/>
      <c r="Q104" s="471"/>
      <c r="R104" s="125">
        <v>588</v>
      </c>
      <c r="S104" s="132"/>
      <c r="T104" s="48" t="s">
        <v>44</v>
      </c>
    </row>
    <row r="105" spans="2:20" x14ac:dyDescent="0.25">
      <c r="B105" s="49">
        <v>66</v>
      </c>
      <c r="C105" s="471" t="s">
        <v>141</v>
      </c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125">
        <v>589</v>
      </c>
      <c r="S105" s="132"/>
      <c r="T105" s="48" t="s">
        <v>44</v>
      </c>
    </row>
    <row r="106" spans="2:20" x14ac:dyDescent="0.25">
      <c r="B106" s="518" t="s">
        <v>142</v>
      </c>
      <c r="C106" s="519"/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47"/>
    </row>
    <row r="107" spans="2:20" ht="30" customHeight="1" x14ac:dyDescent="0.25">
      <c r="B107" s="49"/>
      <c r="C107" s="125"/>
      <c r="D107" s="516" t="s">
        <v>143</v>
      </c>
      <c r="E107" s="516"/>
      <c r="F107" s="516"/>
      <c r="G107" s="516" t="s">
        <v>144</v>
      </c>
      <c r="H107" s="516"/>
      <c r="I107" s="516" t="s">
        <v>145</v>
      </c>
      <c r="J107" s="516"/>
      <c r="K107" s="516"/>
      <c r="L107" s="516"/>
      <c r="M107" s="516" t="s">
        <v>146</v>
      </c>
      <c r="N107" s="516"/>
      <c r="O107" s="516" t="s">
        <v>147</v>
      </c>
      <c r="P107" s="516"/>
      <c r="Q107" s="516"/>
      <c r="R107" s="516" t="s">
        <v>148</v>
      </c>
      <c r="S107" s="516"/>
      <c r="T107" s="517"/>
    </row>
    <row r="108" spans="2:20" ht="30" x14ac:dyDescent="0.25">
      <c r="B108" s="49">
        <v>67</v>
      </c>
      <c r="C108" s="138" t="s">
        <v>149</v>
      </c>
      <c r="D108" s="516">
        <v>750</v>
      </c>
      <c r="E108" s="516"/>
      <c r="F108" s="139"/>
      <c r="G108" s="125">
        <v>30</v>
      </c>
      <c r="H108" s="129">
        <v>0</v>
      </c>
      <c r="I108" s="125">
        <v>563</v>
      </c>
      <c r="J108" s="585"/>
      <c r="K108" s="585"/>
      <c r="L108" s="585"/>
      <c r="M108" s="125">
        <v>115</v>
      </c>
      <c r="N108" s="128"/>
      <c r="O108" s="125">
        <v>68</v>
      </c>
      <c r="P108" s="506"/>
      <c r="Q108" s="506"/>
      <c r="R108" s="125">
        <v>62</v>
      </c>
      <c r="S108" s="134">
        <f>IF(F108="SI",0,ROUND(J108*N108%,0))</f>
        <v>0</v>
      </c>
      <c r="T108" s="48" t="s">
        <v>44</v>
      </c>
    </row>
    <row r="109" spans="2:20" x14ac:dyDescent="0.25">
      <c r="B109" s="49">
        <v>68</v>
      </c>
      <c r="C109" s="471" t="s">
        <v>150</v>
      </c>
      <c r="D109" s="471"/>
      <c r="E109" s="471"/>
      <c r="F109" s="471"/>
      <c r="G109" s="125">
        <v>565</v>
      </c>
      <c r="H109" s="126"/>
      <c r="I109" s="125">
        <v>120</v>
      </c>
      <c r="J109" s="506"/>
      <c r="K109" s="506"/>
      <c r="L109" s="506"/>
      <c r="M109" s="125">
        <v>542</v>
      </c>
      <c r="N109" s="126"/>
      <c r="O109" s="125">
        <v>122</v>
      </c>
      <c r="P109" s="506"/>
      <c r="Q109" s="506"/>
      <c r="R109" s="125">
        <v>123</v>
      </c>
      <c r="S109" s="134"/>
      <c r="T109" s="48" t="s">
        <v>44</v>
      </c>
    </row>
    <row r="110" spans="2:20" x14ac:dyDescent="0.25">
      <c r="B110" s="49">
        <v>69</v>
      </c>
      <c r="C110" s="471" t="s">
        <v>151</v>
      </c>
      <c r="D110" s="471"/>
      <c r="E110" s="471"/>
      <c r="F110" s="471"/>
      <c r="G110" s="125">
        <v>700</v>
      </c>
      <c r="H110" s="126"/>
      <c r="I110" s="125">
        <v>701</v>
      </c>
      <c r="J110" s="506"/>
      <c r="K110" s="506"/>
      <c r="L110" s="506"/>
      <c r="M110" s="125">
        <v>702</v>
      </c>
      <c r="N110" s="126"/>
      <c r="O110" s="125">
        <v>711</v>
      </c>
      <c r="P110" s="506"/>
      <c r="Q110" s="506"/>
      <c r="R110" s="125">
        <v>703</v>
      </c>
      <c r="S110" s="134"/>
      <c r="T110" s="48" t="s">
        <v>44</v>
      </c>
    </row>
    <row r="111" spans="2:20" x14ac:dyDescent="0.25">
      <c r="B111" s="49">
        <v>70</v>
      </c>
      <c r="C111" s="471" t="s">
        <v>152</v>
      </c>
      <c r="D111" s="471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125">
        <v>66</v>
      </c>
      <c r="S111" s="127"/>
      <c r="T111" s="48" t="s">
        <v>44</v>
      </c>
    </row>
    <row r="112" spans="2:20" x14ac:dyDescent="0.25">
      <c r="B112" s="474">
        <v>71</v>
      </c>
      <c r="C112" s="510" t="s">
        <v>153</v>
      </c>
      <c r="D112" s="511"/>
      <c r="E112" s="511"/>
      <c r="F112" s="512"/>
      <c r="G112" s="516" t="s">
        <v>154</v>
      </c>
      <c r="H112" s="516"/>
      <c r="I112" s="516" t="s">
        <v>155</v>
      </c>
      <c r="J112" s="516"/>
      <c r="K112" s="516"/>
      <c r="L112" s="516"/>
      <c r="M112" s="516" t="s">
        <v>156</v>
      </c>
      <c r="N112" s="516"/>
      <c r="O112" s="516"/>
      <c r="P112" s="516"/>
      <c r="Q112" s="516"/>
      <c r="R112" s="516"/>
      <c r="S112" s="516"/>
      <c r="T112" s="517"/>
    </row>
    <row r="113" spans="2:20" x14ac:dyDescent="0.25">
      <c r="B113" s="475"/>
      <c r="C113" s="513"/>
      <c r="D113" s="514"/>
      <c r="E113" s="514"/>
      <c r="F113" s="515"/>
      <c r="G113" s="125">
        <v>721</v>
      </c>
      <c r="H113" s="126"/>
      <c r="I113" s="125">
        <v>722</v>
      </c>
      <c r="J113" s="506"/>
      <c r="K113" s="506"/>
      <c r="L113" s="506"/>
      <c r="M113" s="125">
        <v>724</v>
      </c>
      <c r="N113" s="509"/>
      <c r="O113" s="509"/>
      <c r="P113" s="471" t="s">
        <v>157</v>
      </c>
      <c r="Q113" s="471"/>
      <c r="R113" s="125">
        <v>723</v>
      </c>
      <c r="S113" s="134"/>
      <c r="T113" s="48" t="s">
        <v>51</v>
      </c>
    </row>
    <row r="114" spans="2:20" x14ac:dyDescent="0.25">
      <c r="B114" s="49">
        <v>72</v>
      </c>
      <c r="C114" s="471" t="s">
        <v>158</v>
      </c>
      <c r="D114" s="471"/>
      <c r="E114" s="471"/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P114" s="471"/>
      <c r="Q114" s="471"/>
      <c r="R114" s="125">
        <v>152</v>
      </c>
      <c r="S114" s="127"/>
      <c r="T114" s="48" t="s">
        <v>44</v>
      </c>
    </row>
    <row r="115" spans="2:20" x14ac:dyDescent="0.25">
      <c r="B115" s="49">
        <v>73</v>
      </c>
      <c r="C115" s="471" t="s">
        <v>159</v>
      </c>
      <c r="D115" s="471"/>
      <c r="E115" s="471"/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P115" s="471"/>
      <c r="Q115" s="471"/>
      <c r="R115" s="125">
        <v>70</v>
      </c>
      <c r="S115" s="127"/>
      <c r="T115" s="48" t="s">
        <v>44</v>
      </c>
    </row>
    <row r="116" spans="2:20" ht="15.75" thickBot="1" x14ac:dyDescent="0.3">
      <c r="B116" s="14">
        <v>74</v>
      </c>
      <c r="C116" s="472" t="s">
        <v>160</v>
      </c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15">
        <v>766</v>
      </c>
      <c r="S116" s="21"/>
      <c r="T116" s="17"/>
    </row>
    <row r="117" spans="2:20" ht="15.75" thickBot="1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2:20" ht="15.75" thickBot="1" x14ac:dyDescent="0.3">
      <c r="B118" s="22">
        <v>75</v>
      </c>
      <c r="C118" s="483" t="s">
        <v>161</v>
      </c>
      <c r="D118" s="483"/>
      <c r="E118" s="483"/>
      <c r="F118" s="483"/>
      <c r="G118" s="483"/>
      <c r="H118" s="483"/>
      <c r="I118" s="483"/>
      <c r="J118" s="483"/>
      <c r="K118" s="483"/>
      <c r="L118" s="483"/>
      <c r="M118" s="483"/>
      <c r="N118" s="483"/>
      <c r="O118" s="483"/>
      <c r="P118" s="483"/>
      <c r="Q118" s="483"/>
      <c r="R118" s="23">
        <v>595</v>
      </c>
      <c r="S118" s="24">
        <f>SUM(S80,S95:S105,S108:S111)</f>
        <v>7327.0404052031781</v>
      </c>
      <c r="T118" s="25" t="s">
        <v>65</v>
      </c>
    </row>
    <row r="119" spans="2:20" ht="15.75" thickBot="1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2:20" x14ac:dyDescent="0.25">
      <c r="B120" s="484" t="s">
        <v>162</v>
      </c>
      <c r="C120" s="485"/>
      <c r="D120" s="485"/>
      <c r="E120" s="485"/>
      <c r="F120" s="485"/>
      <c r="G120" s="485"/>
      <c r="H120" s="485"/>
      <c r="I120" s="485"/>
      <c r="J120" s="485"/>
      <c r="K120" s="485"/>
      <c r="L120" s="485"/>
      <c r="M120" s="485"/>
      <c r="N120" s="485"/>
      <c r="O120" s="485"/>
      <c r="P120" s="485"/>
      <c r="Q120" s="485"/>
      <c r="R120" s="485"/>
      <c r="S120" s="485"/>
      <c r="T120" s="46"/>
    </row>
    <row r="121" spans="2:20" x14ac:dyDescent="0.25">
      <c r="B121" s="503"/>
      <c r="C121" s="504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 t="s">
        <v>112</v>
      </c>
      <c r="S121" s="504"/>
      <c r="T121" s="505"/>
    </row>
    <row r="122" spans="2:20" x14ac:dyDescent="0.25">
      <c r="B122" s="49">
        <v>76</v>
      </c>
      <c r="C122" s="471" t="s">
        <v>163</v>
      </c>
      <c r="D122" s="471"/>
      <c r="E122" s="471"/>
      <c r="F122" s="471"/>
      <c r="G122" s="471"/>
      <c r="H122" s="471"/>
      <c r="I122" s="471"/>
      <c r="J122" s="471"/>
      <c r="K122" s="471"/>
      <c r="L122" s="471"/>
      <c r="M122" s="471"/>
      <c r="N122" s="471"/>
      <c r="O122" s="471"/>
      <c r="P122" s="471"/>
      <c r="Q122" s="471"/>
      <c r="R122" s="125">
        <v>529</v>
      </c>
      <c r="S122" s="127"/>
      <c r="T122" s="48"/>
    </row>
    <row r="123" spans="2:20" x14ac:dyDescent="0.25">
      <c r="B123" s="49">
        <v>77</v>
      </c>
      <c r="C123" s="471" t="s">
        <v>164</v>
      </c>
      <c r="D123" s="471"/>
      <c r="E123" s="471"/>
      <c r="F123" s="471"/>
      <c r="G123" s="471"/>
      <c r="H123" s="471"/>
      <c r="I123" s="471"/>
      <c r="J123" s="471"/>
      <c r="K123" s="471"/>
      <c r="L123" s="471"/>
      <c r="M123" s="471"/>
      <c r="N123" s="471"/>
      <c r="O123" s="471"/>
      <c r="P123" s="471"/>
      <c r="Q123" s="471"/>
      <c r="R123" s="125">
        <v>530</v>
      </c>
      <c r="S123" s="127"/>
      <c r="T123" s="48"/>
    </row>
    <row r="124" spans="2:20" ht="15.75" thickBot="1" x14ac:dyDescent="0.3">
      <c r="B124" s="10">
        <v>78</v>
      </c>
      <c r="C124" s="470" t="s">
        <v>165</v>
      </c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52">
        <v>409</v>
      </c>
      <c r="S124" s="26"/>
      <c r="T124" s="11" t="s">
        <v>44</v>
      </c>
    </row>
    <row r="125" spans="2:20" ht="15.75" thickBot="1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2:20" x14ac:dyDescent="0.25">
      <c r="B126" s="484" t="s">
        <v>166</v>
      </c>
      <c r="C126" s="485"/>
      <c r="D126" s="485"/>
      <c r="E126" s="485"/>
      <c r="F126" s="485"/>
      <c r="G126" s="485"/>
      <c r="H126" s="485"/>
      <c r="I126" s="485"/>
      <c r="J126" s="485"/>
      <c r="K126" s="485"/>
      <c r="L126" s="485"/>
      <c r="M126" s="485"/>
      <c r="N126" s="485"/>
      <c r="O126" s="485"/>
      <c r="P126" s="485"/>
      <c r="Q126" s="485"/>
      <c r="R126" s="485"/>
      <c r="S126" s="485"/>
      <c r="T126" s="46"/>
    </row>
    <row r="127" spans="2:20" x14ac:dyDescent="0.25">
      <c r="B127" s="49">
        <v>79</v>
      </c>
      <c r="C127" s="471" t="s">
        <v>167</v>
      </c>
      <c r="D127" s="471"/>
      <c r="E127" s="471"/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P127" s="471"/>
      <c r="Q127" s="471"/>
      <c r="R127" s="125">
        <v>522</v>
      </c>
      <c r="S127" s="127"/>
      <c r="T127" s="48" t="s">
        <v>44</v>
      </c>
    </row>
    <row r="128" spans="2:20" x14ac:dyDescent="0.25">
      <c r="B128" s="49">
        <v>80</v>
      </c>
      <c r="C128" s="471" t="s">
        <v>168</v>
      </c>
      <c r="D128" s="471"/>
      <c r="E128" s="471"/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P128" s="471"/>
      <c r="Q128" s="471"/>
      <c r="R128" s="125">
        <v>526</v>
      </c>
      <c r="S128" s="127"/>
      <c r="T128" s="48" t="s">
        <v>44</v>
      </c>
    </row>
    <row r="129" spans="2:20" x14ac:dyDescent="0.25">
      <c r="B129" s="49">
        <v>81</v>
      </c>
      <c r="C129" s="471" t="s">
        <v>169</v>
      </c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125">
        <v>113</v>
      </c>
      <c r="S129" s="127"/>
      <c r="T129" s="48" t="s">
        <v>44</v>
      </c>
    </row>
    <row r="130" spans="2:20" x14ac:dyDescent="0.25">
      <c r="B130" s="49">
        <v>82</v>
      </c>
      <c r="C130" s="471" t="s">
        <v>170</v>
      </c>
      <c r="D130" s="471"/>
      <c r="E130" s="471"/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P130" s="471"/>
      <c r="Q130" s="471"/>
      <c r="R130" s="125">
        <v>28</v>
      </c>
      <c r="S130" s="127"/>
      <c r="T130" s="48" t="s">
        <v>51</v>
      </c>
    </row>
    <row r="131" spans="2:20" x14ac:dyDescent="0.25">
      <c r="B131" s="49">
        <v>83</v>
      </c>
      <c r="C131" s="471" t="s">
        <v>171</v>
      </c>
      <c r="D131" s="471"/>
      <c r="E131" s="471"/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P131" s="471"/>
      <c r="Q131" s="471"/>
      <c r="R131" s="125">
        <v>548</v>
      </c>
      <c r="S131" s="127"/>
      <c r="T131" s="48" t="s">
        <v>51</v>
      </c>
    </row>
    <row r="132" spans="2:20" x14ac:dyDescent="0.25">
      <c r="B132" s="49">
        <v>84</v>
      </c>
      <c r="C132" s="471" t="s">
        <v>172</v>
      </c>
      <c r="D132" s="471"/>
      <c r="E132" s="471"/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P132" s="471"/>
      <c r="Q132" s="471"/>
      <c r="R132" s="125">
        <v>540</v>
      </c>
      <c r="S132" s="127"/>
      <c r="T132" s="48" t="s">
        <v>51</v>
      </c>
    </row>
    <row r="133" spans="2:20" x14ac:dyDescent="0.25">
      <c r="B133" s="49">
        <v>85</v>
      </c>
      <c r="C133" s="471" t="s">
        <v>173</v>
      </c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P133" s="471"/>
      <c r="Q133" s="471"/>
      <c r="R133" s="125">
        <v>541</v>
      </c>
      <c r="S133" s="127"/>
      <c r="T133" s="48" t="s">
        <v>44</v>
      </c>
    </row>
    <row r="134" spans="2:20" ht="15.75" thickBot="1" x14ac:dyDescent="0.3">
      <c r="B134" s="49">
        <v>86</v>
      </c>
      <c r="C134" s="470" t="s">
        <v>174</v>
      </c>
      <c r="D134" s="470"/>
      <c r="E134" s="470"/>
      <c r="F134" s="470"/>
      <c r="G134" s="470"/>
      <c r="H134" s="470"/>
      <c r="I134" s="52">
        <v>549</v>
      </c>
      <c r="J134" s="507">
        <f>IF(S127+S128+S129+S133-S130-S131-S132&lt;0,-(S127+S128+S129+S133-S130-S131-S132),0)</f>
        <v>0</v>
      </c>
      <c r="K134" s="507"/>
      <c r="L134" s="507"/>
      <c r="M134" s="470" t="s">
        <v>175</v>
      </c>
      <c r="N134" s="470"/>
      <c r="O134" s="470"/>
      <c r="P134" s="470"/>
      <c r="Q134" s="470"/>
      <c r="R134" s="52">
        <v>550</v>
      </c>
      <c r="S134" s="27">
        <f>IF(S127+S128+S129+S133-S130-S131-S132&gt;0,S127+S128+S129+S133-S130-S131-S132,0)</f>
        <v>0</v>
      </c>
      <c r="T134" s="11" t="s">
        <v>44</v>
      </c>
    </row>
    <row r="135" spans="2:20" ht="15.75" thickBot="1" x14ac:dyDescent="0.3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2:20" x14ac:dyDescent="0.25">
      <c r="B136" s="484" t="s">
        <v>176</v>
      </c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  <c r="N136" s="485"/>
      <c r="O136" s="485"/>
      <c r="P136" s="485"/>
      <c r="Q136" s="485"/>
      <c r="R136" s="485"/>
      <c r="S136" s="485"/>
      <c r="T136" s="46"/>
    </row>
    <row r="137" spans="2:20" x14ac:dyDescent="0.25">
      <c r="B137" s="503"/>
      <c r="C137" s="504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 t="s">
        <v>177</v>
      </c>
      <c r="S137" s="504"/>
      <c r="T137" s="505"/>
    </row>
    <row r="138" spans="2:20" x14ac:dyDescent="0.25">
      <c r="B138" s="49">
        <v>87</v>
      </c>
      <c r="C138" s="471" t="s">
        <v>178</v>
      </c>
      <c r="D138" s="471"/>
      <c r="E138" s="471"/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P138" s="471"/>
      <c r="Q138" s="471"/>
      <c r="R138" s="125">
        <v>577</v>
      </c>
      <c r="S138" s="127"/>
      <c r="T138" s="48" t="s">
        <v>44</v>
      </c>
    </row>
    <row r="139" spans="2:20" x14ac:dyDescent="0.25">
      <c r="B139" s="49">
        <v>88</v>
      </c>
      <c r="C139" s="471" t="s">
        <v>179</v>
      </c>
      <c r="D139" s="471"/>
      <c r="E139" s="471"/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P139" s="471"/>
      <c r="Q139" s="471"/>
      <c r="R139" s="125">
        <v>32</v>
      </c>
      <c r="S139" s="127"/>
      <c r="T139" s="48" t="s">
        <v>44</v>
      </c>
    </row>
    <row r="140" spans="2:20" x14ac:dyDescent="0.25">
      <c r="B140" s="49">
        <v>89</v>
      </c>
      <c r="C140" s="471" t="s">
        <v>180</v>
      </c>
      <c r="D140" s="471"/>
      <c r="E140" s="471"/>
      <c r="F140" s="471"/>
      <c r="G140" s="471"/>
      <c r="H140" s="471"/>
      <c r="I140" s="471"/>
      <c r="J140" s="471"/>
      <c r="K140" s="471"/>
      <c r="L140" s="471"/>
      <c r="M140" s="471"/>
      <c r="N140" s="471"/>
      <c r="O140" s="471"/>
      <c r="P140" s="471"/>
      <c r="Q140" s="471"/>
      <c r="R140" s="125">
        <v>150</v>
      </c>
      <c r="S140" s="127"/>
      <c r="T140" s="48" t="s">
        <v>44</v>
      </c>
    </row>
    <row r="141" spans="2:20" x14ac:dyDescent="0.25">
      <c r="B141" s="49">
        <v>90</v>
      </c>
      <c r="C141" s="471" t="s">
        <v>181</v>
      </c>
      <c r="D141" s="471"/>
      <c r="E141" s="471"/>
      <c r="F141" s="471"/>
      <c r="G141" s="471"/>
      <c r="H141" s="471"/>
      <c r="I141" s="471"/>
      <c r="J141" s="471"/>
      <c r="K141" s="471"/>
      <c r="L141" s="471"/>
      <c r="M141" s="471"/>
      <c r="N141" s="471"/>
      <c r="O141" s="471"/>
      <c r="P141" s="471"/>
      <c r="Q141" s="471"/>
      <c r="R141" s="125">
        <v>146</v>
      </c>
      <c r="S141" s="127"/>
      <c r="T141" s="48" t="s">
        <v>44</v>
      </c>
    </row>
    <row r="142" spans="2:20" x14ac:dyDescent="0.25">
      <c r="B142" s="49">
        <v>91</v>
      </c>
      <c r="C142" s="471" t="s">
        <v>182</v>
      </c>
      <c r="D142" s="471"/>
      <c r="E142" s="471"/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P142" s="471"/>
      <c r="Q142" s="471"/>
      <c r="R142" s="125">
        <v>752</v>
      </c>
      <c r="S142" s="127"/>
      <c r="T142" s="48" t="s">
        <v>44</v>
      </c>
    </row>
    <row r="143" spans="2:20" x14ac:dyDescent="0.25">
      <c r="B143" s="49">
        <v>92</v>
      </c>
      <c r="C143" s="471" t="s">
        <v>183</v>
      </c>
      <c r="D143" s="471"/>
      <c r="E143" s="471"/>
      <c r="F143" s="471"/>
      <c r="G143" s="471"/>
      <c r="H143" s="471"/>
      <c r="I143" s="471"/>
      <c r="J143" s="471"/>
      <c r="K143" s="471"/>
      <c r="L143" s="471"/>
      <c r="M143" s="471"/>
      <c r="N143" s="471"/>
      <c r="O143" s="471"/>
      <c r="P143" s="471"/>
      <c r="Q143" s="471"/>
      <c r="R143" s="125">
        <v>545</v>
      </c>
      <c r="S143" s="127"/>
      <c r="T143" s="48" t="s">
        <v>44</v>
      </c>
    </row>
    <row r="144" spans="2:20" x14ac:dyDescent="0.25">
      <c r="B144" s="49">
        <v>93</v>
      </c>
      <c r="C144" s="471" t="s">
        <v>184</v>
      </c>
      <c r="D144" s="471"/>
      <c r="E144" s="471"/>
      <c r="F144" s="471"/>
      <c r="G144" s="471"/>
      <c r="H144" s="471"/>
      <c r="I144" s="471"/>
      <c r="J144" s="471"/>
      <c r="K144" s="471"/>
      <c r="L144" s="471"/>
      <c r="M144" s="471"/>
      <c r="N144" s="471"/>
      <c r="O144" s="471"/>
      <c r="P144" s="471"/>
      <c r="Q144" s="471"/>
      <c r="R144" s="125">
        <v>546</v>
      </c>
      <c r="S144" s="127"/>
      <c r="T144" s="48" t="s">
        <v>51</v>
      </c>
    </row>
    <row r="145" spans="2:20" x14ac:dyDescent="0.25">
      <c r="B145" s="49">
        <v>94</v>
      </c>
      <c r="C145" s="471" t="s">
        <v>52</v>
      </c>
      <c r="D145" s="471"/>
      <c r="E145" s="471"/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P145" s="471"/>
      <c r="Q145" s="471"/>
      <c r="R145" s="125">
        <v>710</v>
      </c>
      <c r="S145" s="127"/>
      <c r="T145" s="48" t="s">
        <v>51</v>
      </c>
    </row>
    <row r="146" spans="2:20" x14ac:dyDescent="0.25">
      <c r="B146" s="49">
        <v>95</v>
      </c>
      <c r="C146" s="471" t="s">
        <v>185</v>
      </c>
      <c r="D146" s="471"/>
      <c r="E146" s="471"/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P146" s="471"/>
      <c r="Q146" s="471"/>
      <c r="R146" s="125">
        <v>602</v>
      </c>
      <c r="S146" s="134">
        <f>+S138+S139+S140+S141+S142+S143-S144-S145</f>
        <v>0</v>
      </c>
      <c r="T146" s="48" t="s">
        <v>65</v>
      </c>
    </row>
    <row r="147" spans="2:20" ht="36.75" customHeight="1" x14ac:dyDescent="0.25">
      <c r="B147" s="503"/>
      <c r="C147" s="504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 t="s">
        <v>186</v>
      </c>
      <c r="N147" s="504"/>
      <c r="O147" s="504"/>
      <c r="P147" s="504"/>
      <c r="Q147" s="504"/>
      <c r="R147" s="504" t="s">
        <v>187</v>
      </c>
      <c r="S147" s="504"/>
      <c r="T147" s="505"/>
    </row>
    <row r="148" spans="2:20" x14ac:dyDescent="0.25">
      <c r="B148" s="49">
        <v>96</v>
      </c>
      <c r="C148" s="471" t="s">
        <v>178</v>
      </c>
      <c r="D148" s="471"/>
      <c r="E148" s="471"/>
      <c r="F148" s="471"/>
      <c r="G148" s="471"/>
      <c r="H148" s="471"/>
      <c r="I148" s="471"/>
      <c r="J148" s="471"/>
      <c r="K148" s="471"/>
      <c r="L148" s="471"/>
      <c r="M148" s="125">
        <v>575</v>
      </c>
      <c r="N148" s="506"/>
      <c r="O148" s="506"/>
      <c r="P148" s="506"/>
      <c r="Q148" s="140" t="s">
        <v>44</v>
      </c>
      <c r="R148" s="125">
        <v>576</v>
      </c>
      <c r="S148" s="127"/>
      <c r="T148" s="48" t="s">
        <v>44</v>
      </c>
    </row>
    <row r="149" spans="2:20" x14ac:dyDescent="0.25">
      <c r="B149" s="49">
        <v>97</v>
      </c>
      <c r="C149" s="471" t="s">
        <v>179</v>
      </c>
      <c r="D149" s="471"/>
      <c r="E149" s="471"/>
      <c r="F149" s="471"/>
      <c r="G149" s="471"/>
      <c r="H149" s="471"/>
      <c r="I149" s="471"/>
      <c r="J149" s="471"/>
      <c r="K149" s="471"/>
      <c r="L149" s="471"/>
      <c r="M149" s="125">
        <v>574</v>
      </c>
      <c r="N149" s="506"/>
      <c r="O149" s="506"/>
      <c r="P149" s="506"/>
      <c r="Q149" s="140" t="s">
        <v>44</v>
      </c>
      <c r="R149" s="125">
        <v>33</v>
      </c>
      <c r="S149" s="127"/>
      <c r="T149" s="48" t="s">
        <v>44</v>
      </c>
    </row>
    <row r="150" spans="2:20" x14ac:dyDescent="0.25">
      <c r="B150" s="49">
        <v>98</v>
      </c>
      <c r="C150" s="471" t="s">
        <v>180</v>
      </c>
      <c r="D150" s="471"/>
      <c r="E150" s="471"/>
      <c r="F150" s="471"/>
      <c r="G150" s="471"/>
      <c r="H150" s="471"/>
      <c r="I150" s="471"/>
      <c r="J150" s="471"/>
      <c r="K150" s="471"/>
      <c r="L150" s="471"/>
      <c r="M150" s="125">
        <v>580</v>
      </c>
      <c r="N150" s="506"/>
      <c r="O150" s="506"/>
      <c r="P150" s="506"/>
      <c r="Q150" s="140" t="s">
        <v>44</v>
      </c>
      <c r="R150" s="125">
        <v>149</v>
      </c>
      <c r="S150" s="127"/>
      <c r="T150" s="48" t="s">
        <v>44</v>
      </c>
    </row>
    <row r="151" spans="2:20" x14ac:dyDescent="0.25">
      <c r="B151" s="49">
        <v>99</v>
      </c>
      <c r="C151" s="471" t="s">
        <v>181</v>
      </c>
      <c r="D151" s="471"/>
      <c r="E151" s="471"/>
      <c r="F151" s="471"/>
      <c r="G151" s="471"/>
      <c r="H151" s="471"/>
      <c r="I151" s="471"/>
      <c r="J151" s="471"/>
      <c r="K151" s="471"/>
      <c r="L151" s="471"/>
      <c r="M151" s="125">
        <v>582</v>
      </c>
      <c r="N151" s="506"/>
      <c r="O151" s="506"/>
      <c r="P151" s="506"/>
      <c r="Q151" s="140" t="s">
        <v>44</v>
      </c>
      <c r="R151" s="125">
        <v>85</v>
      </c>
      <c r="S151" s="127"/>
      <c r="T151" s="48" t="s">
        <v>44</v>
      </c>
    </row>
    <row r="152" spans="2:20" x14ac:dyDescent="0.25">
      <c r="B152" s="49">
        <v>100</v>
      </c>
      <c r="C152" s="471" t="s">
        <v>182</v>
      </c>
      <c r="D152" s="471"/>
      <c r="E152" s="471"/>
      <c r="F152" s="471"/>
      <c r="G152" s="471"/>
      <c r="H152" s="471"/>
      <c r="I152" s="471"/>
      <c r="J152" s="471"/>
      <c r="K152" s="471"/>
      <c r="L152" s="471"/>
      <c r="M152" s="125">
        <v>753</v>
      </c>
      <c r="N152" s="506"/>
      <c r="O152" s="506"/>
      <c r="P152" s="506"/>
      <c r="Q152" s="140" t="s">
        <v>44</v>
      </c>
      <c r="R152" s="125">
        <v>754</v>
      </c>
      <c r="S152" s="127"/>
      <c r="T152" s="48" t="s">
        <v>44</v>
      </c>
    </row>
    <row r="153" spans="2:20" x14ac:dyDescent="0.25">
      <c r="B153" s="49">
        <v>101</v>
      </c>
      <c r="C153" s="471" t="s">
        <v>188</v>
      </c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125">
        <v>551</v>
      </c>
      <c r="S153" s="127"/>
      <c r="T153" s="48" t="s">
        <v>44</v>
      </c>
    </row>
    <row r="154" spans="2:20" x14ac:dyDescent="0.25">
      <c r="B154" s="49">
        <v>102</v>
      </c>
      <c r="C154" s="471" t="s">
        <v>189</v>
      </c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P154" s="471"/>
      <c r="Q154" s="471"/>
      <c r="R154" s="125">
        <v>559</v>
      </c>
      <c r="S154" s="127"/>
      <c r="T154" s="48" t="s">
        <v>51</v>
      </c>
    </row>
    <row r="155" spans="2:20" x14ac:dyDescent="0.25">
      <c r="B155" s="49">
        <v>103</v>
      </c>
      <c r="C155" s="471" t="s">
        <v>190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125">
        <v>508</v>
      </c>
      <c r="S155" s="127"/>
      <c r="T155" s="48" t="s">
        <v>44</v>
      </c>
    </row>
    <row r="156" spans="2:20" x14ac:dyDescent="0.25">
      <c r="B156" s="49">
        <v>104</v>
      </c>
      <c r="C156" s="471" t="s">
        <v>191</v>
      </c>
      <c r="D156" s="471"/>
      <c r="E156" s="471"/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P156" s="471"/>
      <c r="Q156" s="471"/>
      <c r="R156" s="125">
        <v>533</v>
      </c>
      <c r="S156" s="127"/>
      <c r="T156" s="48" t="s">
        <v>51</v>
      </c>
    </row>
    <row r="157" spans="2:20" x14ac:dyDescent="0.25">
      <c r="B157" s="49">
        <v>105</v>
      </c>
      <c r="C157" s="471" t="s">
        <v>192</v>
      </c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P157" s="471"/>
      <c r="Q157" s="471"/>
      <c r="R157" s="125">
        <v>552</v>
      </c>
      <c r="S157" s="127"/>
      <c r="T157" s="48" t="s">
        <v>44</v>
      </c>
    </row>
    <row r="158" spans="2:20" ht="15.75" thickBot="1" x14ac:dyDescent="0.3">
      <c r="B158" s="49">
        <v>106</v>
      </c>
      <c r="C158" s="470" t="s">
        <v>193</v>
      </c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52">
        <v>603</v>
      </c>
      <c r="S158" s="27">
        <f>+S148+S149+S150+S151+S152+S153-S154+S155-S156+S157</f>
        <v>0</v>
      </c>
      <c r="T158" s="11" t="s">
        <v>65</v>
      </c>
    </row>
    <row r="159" spans="2:20" ht="15.75" thickBot="1" x14ac:dyDescent="0.3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2:20" ht="15.75" thickBot="1" x14ac:dyDescent="0.3">
      <c r="B160" s="22">
        <v>107</v>
      </c>
      <c r="C160" s="483" t="s">
        <v>194</v>
      </c>
      <c r="D160" s="483"/>
      <c r="E160" s="483"/>
      <c r="F160" s="483"/>
      <c r="G160" s="483"/>
      <c r="H160" s="483"/>
      <c r="I160" s="23">
        <v>507</v>
      </c>
      <c r="J160" s="502">
        <f>IF(S146-S158&lt;0,S158-S146,0)</f>
        <v>0</v>
      </c>
      <c r="K160" s="502"/>
      <c r="L160" s="502"/>
      <c r="M160" s="502"/>
      <c r="N160" s="483" t="s">
        <v>195</v>
      </c>
      <c r="O160" s="483"/>
      <c r="P160" s="483"/>
      <c r="Q160" s="483"/>
      <c r="R160" s="23">
        <v>506</v>
      </c>
      <c r="S160" s="28">
        <f>IF(S146-S158&gt;0,S146-S158,0)</f>
        <v>0</v>
      </c>
      <c r="T160" s="25" t="s">
        <v>44</v>
      </c>
    </row>
    <row r="161" spans="2:20" ht="15.75" thickBot="1" x14ac:dyDescent="0.3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2:20" x14ac:dyDescent="0.25">
      <c r="B162" s="484" t="s">
        <v>196</v>
      </c>
      <c r="C162" s="485"/>
      <c r="D162" s="485"/>
      <c r="E162" s="485"/>
      <c r="F162" s="485"/>
      <c r="G162" s="485"/>
      <c r="H162" s="485"/>
      <c r="I162" s="485"/>
      <c r="J162" s="485"/>
      <c r="K162" s="485"/>
      <c r="L162" s="485"/>
      <c r="M162" s="485"/>
      <c r="N162" s="485"/>
      <c r="O162" s="485"/>
      <c r="P162" s="485"/>
      <c r="Q162" s="485"/>
      <c r="R162" s="485"/>
      <c r="S162" s="485"/>
      <c r="T162" s="46"/>
    </row>
    <row r="163" spans="2:20" x14ac:dyDescent="0.25">
      <c r="B163" s="503" t="s">
        <v>197</v>
      </c>
      <c r="C163" s="504"/>
      <c r="D163" s="504"/>
      <c r="E163" s="504"/>
      <c r="F163" s="504"/>
      <c r="G163" s="504"/>
      <c r="H163" s="504"/>
      <c r="I163" s="504"/>
      <c r="J163" s="504"/>
      <c r="K163" s="504"/>
      <c r="L163" s="504"/>
      <c r="M163" s="504"/>
      <c r="N163" s="504"/>
      <c r="O163" s="504"/>
      <c r="P163" s="504"/>
      <c r="Q163" s="504"/>
      <c r="R163" s="504"/>
      <c r="S163" s="504"/>
      <c r="T163" s="505"/>
    </row>
    <row r="164" spans="2:20" x14ac:dyDescent="0.25">
      <c r="B164" s="49">
        <v>108</v>
      </c>
      <c r="C164" s="471" t="s">
        <v>198</v>
      </c>
      <c r="D164" s="471"/>
      <c r="E164" s="471"/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P164" s="471"/>
      <c r="Q164" s="471"/>
      <c r="R164" s="125">
        <v>556</v>
      </c>
      <c r="S164" s="127"/>
      <c r="T164" s="48" t="s">
        <v>44</v>
      </c>
    </row>
    <row r="165" spans="2:20" x14ac:dyDescent="0.25">
      <c r="B165" s="49">
        <v>109</v>
      </c>
      <c r="C165" s="471" t="s">
        <v>199</v>
      </c>
      <c r="D165" s="471"/>
      <c r="E165" s="471"/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P165" s="471"/>
      <c r="Q165" s="471"/>
      <c r="R165" s="125">
        <v>557</v>
      </c>
      <c r="S165" s="127"/>
      <c r="T165" s="48" t="s">
        <v>44</v>
      </c>
    </row>
    <row r="166" spans="2:20" x14ac:dyDescent="0.25">
      <c r="B166" s="49">
        <v>110</v>
      </c>
      <c r="C166" s="471" t="s">
        <v>200</v>
      </c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P166" s="471"/>
      <c r="Q166" s="471"/>
      <c r="R166" s="125">
        <v>558</v>
      </c>
      <c r="S166" s="127"/>
      <c r="T166" s="48" t="s">
        <v>51</v>
      </c>
    </row>
    <row r="167" spans="2:20" x14ac:dyDescent="0.25">
      <c r="B167" s="49">
        <v>111</v>
      </c>
      <c r="C167" s="471" t="s">
        <v>201</v>
      </c>
      <c r="D167" s="471"/>
      <c r="E167" s="471"/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P167" s="471"/>
      <c r="Q167" s="471"/>
      <c r="R167" s="125">
        <v>543</v>
      </c>
      <c r="S167" s="134">
        <f>+S164+S165-S166</f>
        <v>0</v>
      </c>
      <c r="T167" s="48" t="s">
        <v>65</v>
      </c>
    </row>
    <row r="168" spans="2:20" ht="15.75" thickBot="1" x14ac:dyDescent="0.3">
      <c r="B168" s="14">
        <v>112</v>
      </c>
      <c r="C168" s="472" t="s">
        <v>202</v>
      </c>
      <c r="D168" s="472"/>
      <c r="E168" s="472"/>
      <c r="F168" s="472"/>
      <c r="G168" s="472"/>
      <c r="H168" s="472"/>
      <c r="I168" s="15">
        <v>573</v>
      </c>
      <c r="J168" s="584">
        <f>IF(S80&lt;S167,S167-S168,0)</f>
        <v>0</v>
      </c>
      <c r="K168" s="584"/>
      <c r="L168" s="584"/>
      <c r="M168" s="584"/>
      <c r="N168" s="472" t="s">
        <v>203</v>
      </c>
      <c r="O168" s="472"/>
      <c r="P168" s="472"/>
      <c r="Q168" s="472"/>
      <c r="R168" s="15">
        <v>598</v>
      </c>
      <c r="S168" s="53">
        <f>IF(S167&gt;S80,S80,S167)</f>
        <v>0</v>
      </c>
      <c r="T168" s="48" t="s">
        <v>51</v>
      </c>
    </row>
    <row r="169" spans="2:20" ht="15.75" thickBot="1" x14ac:dyDescent="0.3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2:20" x14ac:dyDescent="0.25">
      <c r="B170" s="484" t="s">
        <v>204</v>
      </c>
      <c r="C170" s="485"/>
      <c r="D170" s="485"/>
      <c r="E170" s="485"/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P170" s="485"/>
      <c r="Q170" s="485"/>
      <c r="R170" s="485"/>
      <c r="S170" s="485"/>
      <c r="T170" s="498"/>
    </row>
    <row r="171" spans="2:20" x14ac:dyDescent="0.25">
      <c r="B171" s="49">
        <v>113</v>
      </c>
      <c r="C171" s="471" t="s">
        <v>205</v>
      </c>
      <c r="D171" s="471"/>
      <c r="E171" s="471"/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P171" s="471"/>
      <c r="Q171" s="471"/>
      <c r="R171" s="125">
        <v>39</v>
      </c>
      <c r="S171" s="141"/>
      <c r="T171" s="140" t="s">
        <v>44</v>
      </c>
    </row>
    <row r="172" spans="2:20" x14ac:dyDescent="0.25">
      <c r="B172" s="49">
        <v>114</v>
      </c>
      <c r="C172" s="471" t="s">
        <v>206</v>
      </c>
      <c r="D172" s="471"/>
      <c r="E172" s="471"/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P172" s="471"/>
      <c r="Q172" s="471"/>
      <c r="R172" s="125">
        <v>554</v>
      </c>
      <c r="S172" s="141"/>
      <c r="T172" s="140" t="s">
        <v>44</v>
      </c>
    </row>
    <row r="173" spans="2:20" x14ac:dyDescent="0.25">
      <c r="B173" s="49">
        <v>115</v>
      </c>
      <c r="C173" s="471" t="s">
        <v>207</v>
      </c>
      <c r="D173" s="471"/>
      <c r="E173" s="471"/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P173" s="471"/>
      <c r="Q173" s="471"/>
      <c r="R173" s="125">
        <v>736</v>
      </c>
      <c r="S173" s="141"/>
      <c r="T173" s="140" t="s">
        <v>51</v>
      </c>
    </row>
    <row r="174" spans="2:20" x14ac:dyDescent="0.25">
      <c r="B174" s="49">
        <v>116</v>
      </c>
      <c r="C174" s="471" t="s">
        <v>208</v>
      </c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P174" s="471"/>
      <c r="Q174" s="471"/>
      <c r="R174" s="125">
        <v>597</v>
      </c>
      <c r="S174" s="141"/>
      <c r="T174" s="140" t="s">
        <v>44</v>
      </c>
    </row>
    <row r="175" spans="2:20" ht="15.75" thickBot="1" x14ac:dyDescent="0.3">
      <c r="B175" s="10">
        <v>117</v>
      </c>
      <c r="C175" s="470" t="s">
        <v>209</v>
      </c>
      <c r="D175" s="470"/>
      <c r="E175" s="470"/>
      <c r="F175" s="470"/>
      <c r="G175" s="470"/>
      <c r="H175" s="470"/>
      <c r="I175" s="52">
        <v>555</v>
      </c>
      <c r="J175" s="499"/>
      <c r="K175" s="499"/>
      <c r="L175" s="499"/>
      <c r="M175" s="29" t="s">
        <v>44</v>
      </c>
      <c r="N175" s="500" t="s">
        <v>210</v>
      </c>
      <c r="O175" s="500"/>
      <c r="P175" s="500"/>
      <c r="Q175" s="500"/>
      <c r="R175" s="52">
        <v>596</v>
      </c>
      <c r="S175" s="12">
        <f>+S171+S172-S173+S174+J175</f>
        <v>0</v>
      </c>
      <c r="T175" s="11" t="s">
        <v>44</v>
      </c>
    </row>
    <row r="176" spans="2:20" ht="15.75" thickBot="1" x14ac:dyDescent="0.3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2:20" x14ac:dyDescent="0.25">
      <c r="B177" s="484" t="s">
        <v>211</v>
      </c>
      <c r="C177" s="485"/>
      <c r="D177" s="485"/>
      <c r="E177" s="485"/>
      <c r="F177" s="485"/>
      <c r="G177" s="485"/>
      <c r="H177" s="485"/>
      <c r="I177" s="485"/>
      <c r="J177" s="485"/>
      <c r="K177" s="485"/>
      <c r="L177" s="485"/>
      <c r="M177" s="485"/>
      <c r="N177" s="485"/>
      <c r="O177" s="485"/>
      <c r="P177" s="485"/>
      <c r="Q177" s="485"/>
      <c r="R177" s="485"/>
      <c r="S177" s="485"/>
      <c r="T177" s="46"/>
    </row>
    <row r="178" spans="2:20" x14ac:dyDescent="0.25">
      <c r="B178" s="49">
        <v>118</v>
      </c>
      <c r="C178" s="471" t="s">
        <v>212</v>
      </c>
      <c r="D178" s="471"/>
      <c r="E178" s="471"/>
      <c r="F178" s="471"/>
      <c r="G178" s="125">
        <v>725</v>
      </c>
      <c r="H178" s="129"/>
      <c r="I178" s="471" t="s">
        <v>213</v>
      </c>
      <c r="J178" s="471"/>
      <c r="K178" s="471"/>
      <c r="L178" s="125">
        <v>737</v>
      </c>
      <c r="M178" s="495"/>
      <c r="N178" s="496"/>
      <c r="O178" s="497"/>
      <c r="P178" s="471" t="s">
        <v>214</v>
      </c>
      <c r="Q178" s="471"/>
      <c r="R178" s="125">
        <v>727</v>
      </c>
      <c r="S178" s="134">
        <f>+H178+M178</f>
        <v>0</v>
      </c>
      <c r="T178" s="48" t="s">
        <v>51</v>
      </c>
    </row>
    <row r="179" spans="2:20" x14ac:dyDescent="0.25">
      <c r="B179" s="49">
        <v>119</v>
      </c>
      <c r="C179" s="471" t="s">
        <v>215</v>
      </c>
      <c r="D179" s="471"/>
      <c r="E179" s="471"/>
      <c r="F179" s="471"/>
      <c r="G179" s="125">
        <v>704</v>
      </c>
      <c r="H179" s="129"/>
      <c r="I179" s="471" t="s">
        <v>213</v>
      </c>
      <c r="J179" s="471"/>
      <c r="K179" s="471"/>
      <c r="L179" s="125">
        <v>705</v>
      </c>
      <c r="M179" s="495"/>
      <c r="N179" s="496"/>
      <c r="O179" s="497"/>
      <c r="P179" s="471" t="s">
        <v>214</v>
      </c>
      <c r="Q179" s="471"/>
      <c r="R179" s="125">
        <v>706</v>
      </c>
      <c r="S179" s="134">
        <f t="shared" ref="S179:S183" si="0">+H179+M179</f>
        <v>0</v>
      </c>
      <c r="T179" s="48" t="s">
        <v>51</v>
      </c>
    </row>
    <row r="180" spans="2:20" x14ac:dyDescent="0.25">
      <c r="B180" s="49">
        <v>120</v>
      </c>
      <c r="C180" s="471" t="s">
        <v>216</v>
      </c>
      <c r="D180" s="471"/>
      <c r="E180" s="471"/>
      <c r="F180" s="471"/>
      <c r="G180" s="125">
        <v>160</v>
      </c>
      <c r="H180" s="129"/>
      <c r="I180" s="471" t="s">
        <v>213</v>
      </c>
      <c r="J180" s="471"/>
      <c r="K180" s="471"/>
      <c r="L180" s="125">
        <v>161</v>
      </c>
      <c r="M180" s="495"/>
      <c r="N180" s="496"/>
      <c r="O180" s="497"/>
      <c r="P180" s="471" t="s">
        <v>214</v>
      </c>
      <c r="Q180" s="471"/>
      <c r="R180" s="125">
        <v>570</v>
      </c>
      <c r="S180" s="134">
        <f t="shared" si="0"/>
        <v>0</v>
      </c>
      <c r="T180" s="48" t="s">
        <v>51</v>
      </c>
    </row>
    <row r="181" spans="2:20" x14ac:dyDescent="0.25">
      <c r="B181" s="49">
        <v>121</v>
      </c>
      <c r="C181" s="471" t="s">
        <v>217</v>
      </c>
      <c r="D181" s="471"/>
      <c r="E181" s="471"/>
      <c r="F181" s="471"/>
      <c r="G181" s="125">
        <v>126</v>
      </c>
      <c r="H181" s="129"/>
      <c r="I181" s="471" t="s">
        <v>213</v>
      </c>
      <c r="J181" s="471"/>
      <c r="K181" s="471"/>
      <c r="L181" s="125">
        <v>128</v>
      </c>
      <c r="M181" s="495"/>
      <c r="N181" s="496"/>
      <c r="O181" s="497"/>
      <c r="P181" s="471" t="s">
        <v>214</v>
      </c>
      <c r="Q181" s="471"/>
      <c r="R181" s="125">
        <v>571</v>
      </c>
      <c r="S181" s="134">
        <f t="shared" si="0"/>
        <v>0</v>
      </c>
      <c r="T181" s="48" t="s">
        <v>51</v>
      </c>
    </row>
    <row r="182" spans="2:20" x14ac:dyDescent="0.25">
      <c r="B182" s="49">
        <v>122</v>
      </c>
      <c r="C182" s="471" t="s">
        <v>218</v>
      </c>
      <c r="D182" s="471"/>
      <c r="E182" s="471"/>
      <c r="F182" s="471"/>
      <c r="G182" s="125">
        <v>572</v>
      </c>
      <c r="H182" s="129"/>
      <c r="I182" s="471" t="s">
        <v>213</v>
      </c>
      <c r="J182" s="471"/>
      <c r="K182" s="471"/>
      <c r="L182" s="125">
        <v>568</v>
      </c>
      <c r="M182" s="489"/>
      <c r="N182" s="490"/>
      <c r="O182" s="491"/>
      <c r="P182" s="471" t="s">
        <v>214</v>
      </c>
      <c r="Q182" s="471"/>
      <c r="R182" s="125">
        <v>590</v>
      </c>
      <c r="S182" s="134">
        <f t="shared" si="0"/>
        <v>0</v>
      </c>
      <c r="T182" s="48" t="s">
        <v>51</v>
      </c>
    </row>
    <row r="183" spans="2:20" ht="15.75" thickBot="1" x14ac:dyDescent="0.3">
      <c r="B183" s="51">
        <v>123</v>
      </c>
      <c r="C183" s="472" t="s">
        <v>219</v>
      </c>
      <c r="D183" s="472"/>
      <c r="E183" s="472"/>
      <c r="F183" s="472"/>
      <c r="G183" s="15">
        <v>768</v>
      </c>
      <c r="H183" s="30"/>
      <c r="I183" s="472" t="s">
        <v>213</v>
      </c>
      <c r="J183" s="472"/>
      <c r="K183" s="472"/>
      <c r="L183" s="15">
        <v>769</v>
      </c>
      <c r="M183" s="492"/>
      <c r="N183" s="493"/>
      <c r="O183" s="494"/>
      <c r="P183" s="472" t="s">
        <v>214</v>
      </c>
      <c r="Q183" s="472"/>
      <c r="R183" s="15">
        <v>770</v>
      </c>
      <c r="S183" s="134">
        <f t="shared" si="0"/>
        <v>0</v>
      </c>
      <c r="T183" s="17" t="s">
        <v>51</v>
      </c>
    </row>
    <row r="184" spans="2:20" x14ac:dyDescent="0.25">
      <c r="B184" s="3"/>
      <c r="C184" s="31"/>
      <c r="D184" s="31"/>
      <c r="E184" s="31"/>
      <c r="F184" s="31"/>
      <c r="G184" s="3"/>
      <c r="H184" s="32"/>
      <c r="I184" s="31"/>
      <c r="J184" s="31"/>
      <c r="K184" s="31"/>
      <c r="L184" s="3"/>
      <c r="M184" s="32"/>
      <c r="N184" s="32"/>
      <c r="O184" s="32"/>
      <c r="P184" s="31"/>
      <c r="Q184" s="31"/>
      <c r="R184" s="3"/>
      <c r="S184" s="33">
        <f>+S124+S134+S160+S168+S175-S178-S179-S180-S181-S183</f>
        <v>0</v>
      </c>
      <c r="T184" s="3"/>
    </row>
    <row r="185" spans="2:20" ht="15.75" thickBot="1" x14ac:dyDescent="0.3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33">
        <f>+S118+S184</f>
        <v>7327.0404052031781</v>
      </c>
      <c r="T185" s="9"/>
    </row>
    <row r="186" spans="2:20" ht="15.75" thickBot="1" x14ac:dyDescent="0.3">
      <c r="B186" s="22">
        <v>124</v>
      </c>
      <c r="C186" s="483" t="s">
        <v>220</v>
      </c>
      <c r="D186" s="483"/>
      <c r="E186" s="483"/>
      <c r="F186" s="483"/>
      <c r="G186" s="483"/>
      <c r="H186" s="483"/>
      <c r="I186" s="483"/>
      <c r="J186" s="483"/>
      <c r="K186" s="483"/>
      <c r="L186" s="483"/>
      <c r="M186" s="483"/>
      <c r="N186" s="483"/>
      <c r="O186" s="483"/>
      <c r="P186" s="483"/>
      <c r="Q186" s="483"/>
      <c r="R186" s="23">
        <v>547</v>
      </c>
      <c r="S186" s="34">
        <f>IF(S184=0,0,IF(S185&gt;0,S185,-(S185)))</f>
        <v>0</v>
      </c>
      <c r="T186" s="25" t="s">
        <v>65</v>
      </c>
    </row>
    <row r="187" spans="2:20" ht="15.75" thickBot="1" x14ac:dyDescent="0.3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2:20" x14ac:dyDescent="0.25">
      <c r="B188" s="484" t="s">
        <v>221</v>
      </c>
      <c r="C188" s="485"/>
      <c r="D188" s="485"/>
      <c r="E188" s="485"/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P188" s="485"/>
      <c r="Q188" s="485"/>
      <c r="R188" s="485"/>
      <c r="S188" s="485"/>
      <c r="T188" s="46"/>
    </row>
    <row r="189" spans="2:20" x14ac:dyDescent="0.25">
      <c r="B189" s="49">
        <v>125</v>
      </c>
      <c r="C189" s="471" t="s">
        <v>222</v>
      </c>
      <c r="D189" s="471"/>
      <c r="E189" s="471"/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P189" s="471"/>
      <c r="Q189" s="471"/>
      <c r="R189" s="125">
        <v>728</v>
      </c>
      <c r="S189" s="127"/>
      <c r="T189" s="48"/>
    </row>
    <row r="190" spans="2:20" x14ac:dyDescent="0.25">
      <c r="B190" s="49">
        <v>126</v>
      </c>
      <c r="C190" s="471" t="s">
        <v>223</v>
      </c>
      <c r="D190" s="471"/>
      <c r="E190" s="471"/>
      <c r="F190" s="471"/>
      <c r="G190" s="471"/>
      <c r="H190" s="471"/>
      <c r="I190" s="471"/>
      <c r="J190" s="471"/>
      <c r="K190" s="471"/>
      <c r="L190" s="471"/>
      <c r="M190" s="471"/>
      <c r="N190" s="471"/>
      <c r="O190" s="471"/>
      <c r="P190" s="471"/>
      <c r="Q190" s="471"/>
      <c r="R190" s="125">
        <v>707</v>
      </c>
      <c r="S190" s="127"/>
      <c r="T190" s="48"/>
    </row>
    <row r="191" spans="2:20" x14ac:dyDescent="0.25">
      <c r="B191" s="49">
        <v>127</v>
      </c>
      <c r="C191" s="471" t="s">
        <v>224</v>
      </c>
      <c r="D191" s="471"/>
      <c r="E191" s="471"/>
      <c r="F191" s="471"/>
      <c r="G191" s="471"/>
      <c r="H191" s="471"/>
      <c r="I191" s="471"/>
      <c r="J191" s="471"/>
      <c r="K191" s="471"/>
      <c r="L191" s="471"/>
      <c r="M191" s="471"/>
      <c r="N191" s="471"/>
      <c r="O191" s="471"/>
      <c r="P191" s="471"/>
      <c r="Q191" s="471"/>
      <c r="R191" s="125">
        <v>73</v>
      </c>
      <c r="S191" s="127"/>
      <c r="T191" s="48"/>
    </row>
    <row r="192" spans="2:20" x14ac:dyDescent="0.25">
      <c r="B192" s="49">
        <v>128</v>
      </c>
      <c r="C192" s="471" t="s">
        <v>225</v>
      </c>
      <c r="D192" s="471"/>
      <c r="E192" s="471"/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P192" s="471"/>
      <c r="Q192" s="471"/>
      <c r="R192" s="125">
        <v>130</v>
      </c>
      <c r="S192" s="127"/>
      <c r="T192" s="48"/>
    </row>
    <row r="193" spans="2:20" x14ac:dyDescent="0.25">
      <c r="B193" s="49">
        <v>129</v>
      </c>
      <c r="C193" s="471" t="s">
        <v>226</v>
      </c>
      <c r="D193" s="471"/>
      <c r="E193" s="471"/>
      <c r="F193" s="471"/>
      <c r="G193" s="471"/>
      <c r="H193" s="471"/>
      <c r="I193" s="471"/>
      <c r="J193" s="471"/>
      <c r="K193" s="471"/>
      <c r="L193" s="471"/>
      <c r="M193" s="471"/>
      <c r="N193" s="471"/>
      <c r="O193" s="471"/>
      <c r="P193" s="471"/>
      <c r="Q193" s="471"/>
      <c r="R193" s="125">
        <v>591</v>
      </c>
      <c r="S193" s="127"/>
      <c r="T193" s="48"/>
    </row>
    <row r="194" spans="2:20" ht="15.75" thickBot="1" x14ac:dyDescent="0.3">
      <c r="B194" s="14">
        <v>130</v>
      </c>
      <c r="C194" s="472" t="s">
        <v>227</v>
      </c>
      <c r="D194" s="472"/>
      <c r="E194" s="472"/>
      <c r="F194" s="472"/>
      <c r="G194" s="472"/>
      <c r="H194" s="472"/>
      <c r="I194" s="472"/>
      <c r="J194" s="472"/>
      <c r="K194" s="472"/>
      <c r="L194" s="472"/>
      <c r="M194" s="472"/>
      <c r="N194" s="472"/>
      <c r="O194" s="472"/>
      <c r="P194" s="472"/>
      <c r="Q194" s="472"/>
      <c r="R194" s="15">
        <v>771</v>
      </c>
      <c r="S194" s="21"/>
      <c r="T194" s="17"/>
    </row>
    <row r="195" spans="2:20" ht="15.75" thickBot="1" x14ac:dyDescent="0.3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2:20" x14ac:dyDescent="0.25">
      <c r="B196" s="18">
        <v>131</v>
      </c>
      <c r="C196" s="473" t="s">
        <v>228</v>
      </c>
      <c r="D196" s="473"/>
      <c r="E196" s="473"/>
      <c r="F196" s="473"/>
      <c r="G196" s="473"/>
      <c r="H196" s="473"/>
      <c r="I196" s="473"/>
      <c r="J196" s="473"/>
      <c r="K196" s="473"/>
      <c r="L196" s="473"/>
      <c r="M196" s="473"/>
      <c r="N196" s="473"/>
      <c r="O196" s="473"/>
      <c r="P196" s="473"/>
      <c r="Q196" s="473"/>
      <c r="R196" s="8">
        <v>91</v>
      </c>
      <c r="S196" s="35">
        <f>IF(S186&lt;0,0,IF(S186=0,S118,S186))</f>
        <v>7327.0404052031781</v>
      </c>
      <c r="T196" s="20" t="s">
        <v>65</v>
      </c>
    </row>
    <row r="197" spans="2:20" x14ac:dyDescent="0.25">
      <c r="B197" s="49">
        <v>132</v>
      </c>
      <c r="C197" s="471" t="s">
        <v>229</v>
      </c>
      <c r="D197" s="471"/>
      <c r="E197" s="471"/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125">
        <v>92</v>
      </c>
      <c r="S197" s="134">
        <f>+Multas!D17</f>
        <v>0</v>
      </c>
      <c r="T197" s="48" t="s">
        <v>44</v>
      </c>
    </row>
    <row r="198" spans="2:20" x14ac:dyDescent="0.25">
      <c r="B198" s="49">
        <v>133</v>
      </c>
      <c r="C198" s="471" t="s">
        <v>230</v>
      </c>
      <c r="D198" s="471"/>
      <c r="E198" s="471"/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P198" s="471"/>
      <c r="Q198" s="471"/>
      <c r="R198" s="125">
        <v>93</v>
      </c>
      <c r="S198" s="134"/>
      <c r="T198" s="48" t="s">
        <v>44</v>
      </c>
    </row>
    <row r="199" spans="2:20" x14ac:dyDescent="0.25">
      <c r="B199" s="474"/>
      <c r="C199" s="476" t="s">
        <v>231</v>
      </c>
      <c r="D199" s="478" t="s">
        <v>232</v>
      </c>
      <c r="E199" s="479"/>
      <c r="F199" s="125">
        <v>922</v>
      </c>
      <c r="G199" s="478"/>
      <c r="H199" s="479"/>
      <c r="I199" s="478" t="s">
        <v>233</v>
      </c>
      <c r="J199" s="479"/>
      <c r="K199" s="125">
        <v>915</v>
      </c>
      <c r="L199" s="142"/>
      <c r="M199" s="478" t="s">
        <v>234</v>
      </c>
      <c r="N199" s="479"/>
      <c r="O199" s="125">
        <v>60</v>
      </c>
      <c r="P199" s="478"/>
      <c r="Q199" s="479"/>
      <c r="R199" s="486"/>
      <c r="S199" s="487"/>
      <c r="T199" s="488"/>
    </row>
    <row r="200" spans="2:20" x14ac:dyDescent="0.25">
      <c r="B200" s="475"/>
      <c r="C200" s="477"/>
      <c r="D200" s="480" t="s">
        <v>235</v>
      </c>
      <c r="E200" s="481"/>
      <c r="F200" s="481"/>
      <c r="G200" s="481"/>
      <c r="H200" s="481"/>
      <c r="I200" s="481"/>
      <c r="J200" s="481"/>
      <c r="K200" s="481"/>
      <c r="L200" s="481"/>
      <c r="M200" s="481"/>
      <c r="N200" s="481"/>
      <c r="O200" s="481"/>
      <c r="P200" s="481"/>
      <c r="Q200" s="482"/>
      <c r="R200" s="118">
        <v>795</v>
      </c>
      <c r="S200" s="134"/>
      <c r="T200" s="140" t="s">
        <v>51</v>
      </c>
    </row>
    <row r="201" spans="2:20" ht="15.75" thickBot="1" x14ac:dyDescent="0.3">
      <c r="B201" s="10">
        <v>134</v>
      </c>
      <c r="C201" s="470" t="s">
        <v>236</v>
      </c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52">
        <v>94</v>
      </c>
      <c r="S201" s="16">
        <f>IF(AND(S197=0,S198=0),0,S196+S197+S198-S200)</f>
        <v>0</v>
      </c>
      <c r="T201" s="17" t="s">
        <v>65</v>
      </c>
    </row>
    <row r="202" spans="2:20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x14ac:dyDescent="0.25">
      <c r="B203" s="3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</sheetData>
  <mergeCells count="341">
    <mergeCell ref="C7:H7"/>
    <mergeCell ref="J7:N7"/>
    <mergeCell ref="P7:T7"/>
    <mergeCell ref="B8:H8"/>
    <mergeCell ref="I8:N8"/>
    <mergeCell ref="O8:T8"/>
    <mergeCell ref="C3:E3"/>
    <mergeCell ref="I3:M3"/>
    <mergeCell ref="Q3:S3"/>
    <mergeCell ref="C4:C5"/>
    <mergeCell ref="I4:I5"/>
    <mergeCell ref="J4:M5"/>
    <mergeCell ref="Q4:Q5"/>
    <mergeCell ref="R4:S5"/>
    <mergeCell ref="C14:L14"/>
    <mergeCell ref="N14:Q14"/>
    <mergeCell ref="C15:L15"/>
    <mergeCell ref="N15:Q15"/>
    <mergeCell ref="C16:L16"/>
    <mergeCell ref="N16:Q16"/>
    <mergeCell ref="B10:S10"/>
    <mergeCell ref="B11:S11"/>
    <mergeCell ref="B12:S12"/>
    <mergeCell ref="B13:L13"/>
    <mergeCell ref="M13:Q13"/>
    <mergeCell ref="R13:T13"/>
    <mergeCell ref="R20:S20"/>
    <mergeCell ref="C21:L21"/>
    <mergeCell ref="N21:Q21"/>
    <mergeCell ref="C22:L22"/>
    <mergeCell ref="N22:Q22"/>
    <mergeCell ref="C23:L23"/>
    <mergeCell ref="N23:Q23"/>
    <mergeCell ref="C17:L17"/>
    <mergeCell ref="N17:Q17"/>
    <mergeCell ref="C18:L18"/>
    <mergeCell ref="N18:Q18"/>
    <mergeCell ref="C19:Q19"/>
    <mergeCell ref="B20:L20"/>
    <mergeCell ref="M20:Q20"/>
    <mergeCell ref="C27:L27"/>
    <mergeCell ref="N27:Q27"/>
    <mergeCell ref="C28:L28"/>
    <mergeCell ref="N28:Q28"/>
    <mergeCell ref="C29:L29"/>
    <mergeCell ref="N29:Q29"/>
    <mergeCell ref="C24:L24"/>
    <mergeCell ref="N24:Q24"/>
    <mergeCell ref="C25:L25"/>
    <mergeCell ref="N25:Q25"/>
    <mergeCell ref="C26:L26"/>
    <mergeCell ref="N26:Q26"/>
    <mergeCell ref="C34:Q34"/>
    <mergeCell ref="C35:E35"/>
    <mergeCell ref="K35:M35"/>
    <mergeCell ref="P35:Q35"/>
    <mergeCell ref="C36:Q36"/>
    <mergeCell ref="C37:Q37"/>
    <mergeCell ref="C30:L30"/>
    <mergeCell ref="N30:Q30"/>
    <mergeCell ref="C31:L31"/>
    <mergeCell ref="N31:Q31"/>
    <mergeCell ref="C32:Q32"/>
    <mergeCell ref="C33:Q33"/>
    <mergeCell ref="B43:S43"/>
    <mergeCell ref="B44:L44"/>
    <mergeCell ref="M44:Q44"/>
    <mergeCell ref="R44:T44"/>
    <mergeCell ref="C45:L45"/>
    <mergeCell ref="N45:Q45"/>
    <mergeCell ref="B39:S39"/>
    <mergeCell ref="B40:S40"/>
    <mergeCell ref="B41:L41"/>
    <mergeCell ref="M41:Q41"/>
    <mergeCell ref="R41:T41"/>
    <mergeCell ref="C42:L42"/>
    <mergeCell ref="N42:Q42"/>
    <mergeCell ref="B50:L50"/>
    <mergeCell ref="M50:Q50"/>
    <mergeCell ref="R50:T50"/>
    <mergeCell ref="C51:L51"/>
    <mergeCell ref="N51:Q51"/>
    <mergeCell ref="C52:L52"/>
    <mergeCell ref="N52:Q52"/>
    <mergeCell ref="C46:L46"/>
    <mergeCell ref="N46:Q46"/>
    <mergeCell ref="C47:L47"/>
    <mergeCell ref="N47:Q47"/>
    <mergeCell ref="B48:S48"/>
    <mergeCell ref="B49:S49"/>
    <mergeCell ref="C56:L56"/>
    <mergeCell ref="N56:Q56"/>
    <mergeCell ref="B57:S57"/>
    <mergeCell ref="C58:L58"/>
    <mergeCell ref="N58:Q58"/>
    <mergeCell ref="C59:L59"/>
    <mergeCell ref="N59:Q59"/>
    <mergeCell ref="C53:L53"/>
    <mergeCell ref="N53:Q53"/>
    <mergeCell ref="C54:L54"/>
    <mergeCell ref="N54:Q54"/>
    <mergeCell ref="C55:L55"/>
    <mergeCell ref="N55:Q55"/>
    <mergeCell ref="C66:Q66"/>
    <mergeCell ref="C67:Q67"/>
    <mergeCell ref="B68:S68"/>
    <mergeCell ref="B69:I69"/>
    <mergeCell ref="J69:M69"/>
    <mergeCell ref="N69:Q69"/>
    <mergeCell ref="R69:T69"/>
    <mergeCell ref="C60:Q60"/>
    <mergeCell ref="C61:Q61"/>
    <mergeCell ref="C62:Q62"/>
    <mergeCell ref="C63:Q63"/>
    <mergeCell ref="C64:Q64"/>
    <mergeCell ref="C65:Q65"/>
    <mergeCell ref="S70:S71"/>
    <mergeCell ref="T70:T71"/>
    <mergeCell ref="P71:Q71"/>
    <mergeCell ref="B72:B73"/>
    <mergeCell ref="C72:I73"/>
    <mergeCell ref="J72:J73"/>
    <mergeCell ref="K72:M73"/>
    <mergeCell ref="P72:Q72"/>
    <mergeCell ref="R72:R73"/>
    <mergeCell ref="S72:S73"/>
    <mergeCell ref="B70:B71"/>
    <mergeCell ref="C70:I71"/>
    <mergeCell ref="J70:J71"/>
    <mergeCell ref="K70:M71"/>
    <mergeCell ref="P70:Q70"/>
    <mergeCell ref="R70:R71"/>
    <mergeCell ref="B79:Q79"/>
    <mergeCell ref="R79:T79"/>
    <mergeCell ref="C80:E80"/>
    <mergeCell ref="G80:H80"/>
    <mergeCell ref="J80:K80"/>
    <mergeCell ref="N80:O80"/>
    <mergeCell ref="P80:Q80"/>
    <mergeCell ref="T72:T73"/>
    <mergeCell ref="P73:Q73"/>
    <mergeCell ref="C74:Q74"/>
    <mergeCell ref="C75:Q75"/>
    <mergeCell ref="C76:Q76"/>
    <mergeCell ref="C77:Q77"/>
    <mergeCell ref="B83:Q83"/>
    <mergeCell ref="R83:T83"/>
    <mergeCell ref="C84:E84"/>
    <mergeCell ref="G84:H84"/>
    <mergeCell ref="J84:K84"/>
    <mergeCell ref="N84:O84"/>
    <mergeCell ref="P84:Q84"/>
    <mergeCell ref="B81:Q81"/>
    <mergeCell ref="R81:T81"/>
    <mergeCell ref="C82:E82"/>
    <mergeCell ref="G82:H82"/>
    <mergeCell ref="J82:K82"/>
    <mergeCell ref="N82:O82"/>
    <mergeCell ref="P82:Q82"/>
    <mergeCell ref="C87:E87"/>
    <mergeCell ref="G87:H87"/>
    <mergeCell ref="I87:Q87"/>
    <mergeCell ref="C88:E88"/>
    <mergeCell ref="G88:H88"/>
    <mergeCell ref="I88:Q88"/>
    <mergeCell ref="C85:E85"/>
    <mergeCell ref="G85:H85"/>
    <mergeCell ref="I85:Q85"/>
    <mergeCell ref="C86:E86"/>
    <mergeCell ref="G86:H86"/>
    <mergeCell ref="I86:Q86"/>
    <mergeCell ref="C90:Q90"/>
    <mergeCell ref="C91:Q91"/>
    <mergeCell ref="B93:S93"/>
    <mergeCell ref="B94:S94"/>
    <mergeCell ref="C95:Q95"/>
    <mergeCell ref="B96:B97"/>
    <mergeCell ref="C96:F97"/>
    <mergeCell ref="G96:H97"/>
    <mergeCell ref="I96:I97"/>
    <mergeCell ref="J96:L96"/>
    <mergeCell ref="J97:L97"/>
    <mergeCell ref="N97:O97"/>
    <mergeCell ref="C98:Q98"/>
    <mergeCell ref="C99:Q99"/>
    <mergeCell ref="C100:Q100"/>
    <mergeCell ref="C101:Q101"/>
    <mergeCell ref="M96:M97"/>
    <mergeCell ref="N96:O96"/>
    <mergeCell ref="P96:Q97"/>
    <mergeCell ref="R107:T107"/>
    <mergeCell ref="D108:E108"/>
    <mergeCell ref="J108:L108"/>
    <mergeCell ref="P108:Q108"/>
    <mergeCell ref="R96:R97"/>
    <mergeCell ref="S96:S97"/>
    <mergeCell ref="T96:T97"/>
    <mergeCell ref="C109:F109"/>
    <mergeCell ref="J109:L109"/>
    <mergeCell ref="P109:Q109"/>
    <mergeCell ref="C102:Q102"/>
    <mergeCell ref="C103:Q103"/>
    <mergeCell ref="C104:Q104"/>
    <mergeCell ref="C105:Q105"/>
    <mergeCell ref="B106:S106"/>
    <mergeCell ref="D107:F107"/>
    <mergeCell ref="G107:H107"/>
    <mergeCell ref="I107:L107"/>
    <mergeCell ref="M107:N107"/>
    <mergeCell ref="O107:Q107"/>
    <mergeCell ref="C110:F110"/>
    <mergeCell ref="J110:L110"/>
    <mergeCell ref="P110:Q110"/>
    <mergeCell ref="C111:Q111"/>
    <mergeCell ref="B112:B113"/>
    <mergeCell ref="C112:F113"/>
    <mergeCell ref="G112:H112"/>
    <mergeCell ref="I112:L112"/>
    <mergeCell ref="M112:O112"/>
    <mergeCell ref="P112:T112"/>
    <mergeCell ref="C118:Q118"/>
    <mergeCell ref="B120:S120"/>
    <mergeCell ref="B121:Q121"/>
    <mergeCell ref="R121:T121"/>
    <mergeCell ref="C122:Q122"/>
    <mergeCell ref="C123:Q123"/>
    <mergeCell ref="J113:L113"/>
    <mergeCell ref="N113:O113"/>
    <mergeCell ref="P113:Q113"/>
    <mergeCell ref="C114:Q114"/>
    <mergeCell ref="C115:Q115"/>
    <mergeCell ref="C116:Q116"/>
    <mergeCell ref="C131:Q131"/>
    <mergeCell ref="C132:Q132"/>
    <mergeCell ref="C133:Q133"/>
    <mergeCell ref="C134:H134"/>
    <mergeCell ref="J134:L134"/>
    <mergeCell ref="M134:Q134"/>
    <mergeCell ref="C124:Q124"/>
    <mergeCell ref="B126:S126"/>
    <mergeCell ref="C127:Q127"/>
    <mergeCell ref="C128:Q128"/>
    <mergeCell ref="C129:Q129"/>
    <mergeCell ref="C130:Q130"/>
    <mergeCell ref="C141:Q141"/>
    <mergeCell ref="C142:Q142"/>
    <mergeCell ref="C143:Q143"/>
    <mergeCell ref="C144:Q144"/>
    <mergeCell ref="C145:Q145"/>
    <mergeCell ref="C146:Q146"/>
    <mergeCell ref="B136:S136"/>
    <mergeCell ref="B137:Q137"/>
    <mergeCell ref="R137:T137"/>
    <mergeCell ref="C138:Q138"/>
    <mergeCell ref="C139:Q139"/>
    <mergeCell ref="C140:Q140"/>
    <mergeCell ref="C150:L150"/>
    <mergeCell ref="N150:P150"/>
    <mergeCell ref="C151:L151"/>
    <mergeCell ref="N151:P151"/>
    <mergeCell ref="C152:L152"/>
    <mergeCell ref="N152:P152"/>
    <mergeCell ref="B147:L147"/>
    <mergeCell ref="M147:Q147"/>
    <mergeCell ref="R147:T147"/>
    <mergeCell ref="C148:L148"/>
    <mergeCell ref="N148:P148"/>
    <mergeCell ref="C149:L149"/>
    <mergeCell ref="N149:P149"/>
    <mergeCell ref="C160:H160"/>
    <mergeCell ref="J160:M160"/>
    <mergeCell ref="N160:Q160"/>
    <mergeCell ref="B162:S162"/>
    <mergeCell ref="B163:T163"/>
    <mergeCell ref="C164:Q164"/>
    <mergeCell ref="C153:Q153"/>
    <mergeCell ref="C154:Q154"/>
    <mergeCell ref="C155:Q155"/>
    <mergeCell ref="C156:Q156"/>
    <mergeCell ref="C157:Q157"/>
    <mergeCell ref="C158:Q158"/>
    <mergeCell ref="B170:T170"/>
    <mergeCell ref="C171:Q171"/>
    <mergeCell ref="C172:Q172"/>
    <mergeCell ref="C173:Q173"/>
    <mergeCell ref="C174:Q174"/>
    <mergeCell ref="C175:H175"/>
    <mergeCell ref="J175:L175"/>
    <mergeCell ref="N175:Q175"/>
    <mergeCell ref="C165:Q165"/>
    <mergeCell ref="C166:Q166"/>
    <mergeCell ref="C167:Q167"/>
    <mergeCell ref="C168:H168"/>
    <mergeCell ref="J168:M168"/>
    <mergeCell ref="N168:Q168"/>
    <mergeCell ref="B177:S177"/>
    <mergeCell ref="C178:F178"/>
    <mergeCell ref="I178:K178"/>
    <mergeCell ref="M178:O178"/>
    <mergeCell ref="P178:Q178"/>
    <mergeCell ref="C179:F179"/>
    <mergeCell ref="I179:K179"/>
    <mergeCell ref="M179:O179"/>
    <mergeCell ref="P179:Q179"/>
    <mergeCell ref="C182:F182"/>
    <mergeCell ref="I182:K182"/>
    <mergeCell ref="M182:O182"/>
    <mergeCell ref="P182:Q182"/>
    <mergeCell ref="C183:F183"/>
    <mergeCell ref="I183:K183"/>
    <mergeCell ref="M183:O183"/>
    <mergeCell ref="P183:Q183"/>
    <mergeCell ref="C180:F180"/>
    <mergeCell ref="I180:K180"/>
    <mergeCell ref="M180:O180"/>
    <mergeCell ref="P180:Q180"/>
    <mergeCell ref="C181:F181"/>
    <mergeCell ref="I181:K181"/>
    <mergeCell ref="M181:O181"/>
    <mergeCell ref="P181:Q181"/>
    <mergeCell ref="C186:Q186"/>
    <mergeCell ref="B188:S188"/>
    <mergeCell ref="C189:Q189"/>
    <mergeCell ref="C190:Q190"/>
    <mergeCell ref="C191:Q191"/>
    <mergeCell ref="C192:Q192"/>
    <mergeCell ref="M199:N199"/>
    <mergeCell ref="P199:Q199"/>
    <mergeCell ref="R199:T199"/>
    <mergeCell ref="C201:Q201"/>
    <mergeCell ref="C193:Q193"/>
    <mergeCell ref="C194:Q194"/>
    <mergeCell ref="C196:Q196"/>
    <mergeCell ref="C197:Q197"/>
    <mergeCell ref="C198:Q198"/>
    <mergeCell ref="B199:B200"/>
    <mergeCell ref="C199:C200"/>
    <mergeCell ref="D199:E199"/>
    <mergeCell ref="G199:H199"/>
    <mergeCell ref="I199:J199"/>
    <mergeCell ref="D200:Q200"/>
  </mergeCells>
  <pageMargins left="0.7" right="0.7" top="0.75" bottom="0.75" header="0.3" footer="0.3"/>
  <pageSetup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760E-A33C-4866-B1C0-C79C84C9C864}">
  <dimension ref="A9:Z21"/>
  <sheetViews>
    <sheetView showGridLines="0" zoomScale="80" zoomScaleNormal="80" workbookViewId="0">
      <selection activeCell="H21" sqref="H21"/>
    </sheetView>
  </sheetViews>
  <sheetFormatPr baseColWidth="10" defaultColWidth="11.42578125" defaultRowHeight="15" x14ac:dyDescent="0.25"/>
  <cols>
    <col min="1" max="1" width="11.42578125" style="1"/>
    <col min="2" max="2" width="15.5703125" style="1" customWidth="1"/>
    <col min="3" max="18" width="11.42578125" style="1"/>
    <col min="19" max="19" width="21.7109375" style="1" customWidth="1"/>
    <col min="20" max="16384" width="11.42578125" style="1"/>
  </cols>
  <sheetData>
    <row r="9" spans="1:26" x14ac:dyDescent="0.25">
      <c r="A9" s="460" t="s">
        <v>400</v>
      </c>
      <c r="B9" s="460"/>
      <c r="C9" s="460"/>
      <c r="D9" s="460"/>
      <c r="E9" s="460"/>
      <c r="F9" s="460"/>
      <c r="G9" s="460"/>
      <c r="H9" s="460"/>
      <c r="I9" s="460"/>
      <c r="J9" s="59"/>
    </row>
    <row r="11" spans="1:26" x14ac:dyDescent="0.25">
      <c r="A11" s="461" t="s">
        <v>401</v>
      </c>
      <c r="B11" s="462"/>
      <c r="C11" s="463" t="s">
        <v>402</v>
      </c>
      <c r="D11" s="464"/>
      <c r="E11" s="464"/>
      <c r="F11" s="465"/>
      <c r="G11" s="466" t="s">
        <v>403</v>
      </c>
      <c r="H11" s="467"/>
      <c r="I11" s="468"/>
      <c r="K11" s="469"/>
      <c r="L11" s="469"/>
      <c r="M11" s="469"/>
      <c r="N11" s="469"/>
      <c r="O11" s="87"/>
      <c r="P11" s="432" t="s">
        <v>404</v>
      </c>
      <c r="Q11" s="432"/>
      <c r="S11" s="432" t="s">
        <v>405</v>
      </c>
      <c r="T11" s="432"/>
    </row>
    <row r="12" spans="1:26" x14ac:dyDescent="0.25">
      <c r="A12" s="447"/>
      <c r="B12" s="448"/>
      <c r="C12" s="449">
        <f>SUM('F-29'!S196)</f>
        <v>142364.14000000001</v>
      </c>
      <c r="D12" s="450"/>
      <c r="E12" s="450"/>
      <c r="F12" s="448"/>
      <c r="G12" s="451"/>
      <c r="H12" s="452"/>
      <c r="I12" s="453"/>
      <c r="K12" s="454" t="s">
        <v>406</v>
      </c>
      <c r="L12" s="454"/>
      <c r="M12" s="454" t="s">
        <v>407</v>
      </c>
      <c r="N12" s="454"/>
      <c r="O12" s="454" t="s">
        <v>408</v>
      </c>
      <c r="P12" s="454"/>
      <c r="Q12" s="454"/>
      <c r="R12" s="454"/>
      <c r="S12" s="456" t="s">
        <v>409</v>
      </c>
      <c r="T12" s="458" t="s">
        <v>410</v>
      </c>
      <c r="U12" s="459"/>
      <c r="W12" s="59" t="s">
        <v>411</v>
      </c>
    </row>
    <row r="13" spans="1:26" ht="15.75" thickBot="1" x14ac:dyDescent="0.3">
      <c r="A13" s="88"/>
      <c r="B13" s="88"/>
      <c r="C13" s="88"/>
      <c r="D13" s="88"/>
      <c r="E13" s="88"/>
      <c r="F13" s="88"/>
      <c r="G13" s="88"/>
      <c r="H13" s="88"/>
      <c r="I13" s="88"/>
      <c r="K13" s="455"/>
      <c r="L13" s="455"/>
      <c r="M13" s="455"/>
      <c r="N13" s="455"/>
      <c r="O13" s="455"/>
      <c r="P13" s="455"/>
      <c r="Q13" s="455"/>
      <c r="R13" s="455"/>
      <c r="S13" s="457"/>
      <c r="T13" s="455"/>
      <c r="U13" s="455"/>
      <c r="W13" s="59" t="s">
        <v>273</v>
      </c>
    </row>
    <row r="14" spans="1:26" ht="28.5" x14ac:dyDescent="0.25">
      <c r="A14" s="433" t="s">
        <v>412</v>
      </c>
      <c r="B14" s="435" t="s">
        <v>413</v>
      </c>
      <c r="C14" s="433" t="s">
        <v>414</v>
      </c>
      <c r="D14" s="437"/>
      <c r="E14" s="433" t="s">
        <v>415</v>
      </c>
      <c r="F14" s="437"/>
      <c r="G14" s="440" t="s">
        <v>416</v>
      </c>
      <c r="H14" s="441"/>
      <c r="I14" s="444" t="s">
        <v>17</v>
      </c>
      <c r="K14" s="168" t="s">
        <v>417</v>
      </c>
      <c r="L14" s="168" t="s">
        <v>418</v>
      </c>
      <c r="M14" s="432" t="s">
        <v>419</v>
      </c>
      <c r="N14" s="432"/>
      <c r="O14" s="432" t="s">
        <v>420</v>
      </c>
      <c r="P14" s="432"/>
      <c r="Q14" s="168" t="s">
        <v>421</v>
      </c>
      <c r="R14" s="168" t="s">
        <v>422</v>
      </c>
      <c r="S14" s="167" t="s">
        <v>423</v>
      </c>
      <c r="T14" s="167" t="s">
        <v>390</v>
      </c>
      <c r="U14" s="167" t="s">
        <v>424</v>
      </c>
      <c r="V14" s="167" t="s">
        <v>425</v>
      </c>
      <c r="W14" s="167" t="s">
        <v>411</v>
      </c>
      <c r="X14" s="167" t="s">
        <v>426</v>
      </c>
      <c r="Y14" s="167" t="s">
        <v>427</v>
      </c>
      <c r="Z14" s="167" t="s">
        <v>428</v>
      </c>
    </row>
    <row r="15" spans="1:26" ht="15.75" thickBot="1" x14ac:dyDescent="0.3">
      <c r="A15" s="434"/>
      <c r="B15" s="436"/>
      <c r="C15" s="438"/>
      <c r="D15" s="439"/>
      <c r="E15" s="438"/>
      <c r="F15" s="439"/>
      <c r="G15" s="442"/>
      <c r="H15" s="443"/>
      <c r="I15" s="445"/>
      <c r="K15" s="1">
        <v>2024</v>
      </c>
      <c r="L15" s="1">
        <v>1</v>
      </c>
      <c r="M15" s="89">
        <v>1.4999999999999999E-2</v>
      </c>
      <c r="N15" s="89">
        <f>+L15*M15</f>
        <v>1.4999999999999999E-2</v>
      </c>
      <c r="O15" s="1">
        <v>1</v>
      </c>
      <c r="P15" s="89">
        <v>0.1</v>
      </c>
      <c r="Q15" s="89">
        <f>+IF(L15=O15,P15,0)</f>
        <v>0.1</v>
      </c>
      <c r="R15" s="89">
        <v>0.3</v>
      </c>
      <c r="S15" s="1" t="s">
        <v>429</v>
      </c>
      <c r="T15" s="90">
        <f>+IFERROR(VLOOKUP($W$13,'RCF-PPM'!$A$9:$C$20,2,0),"0")</f>
        <v>65901</v>
      </c>
      <c r="U15" s="90">
        <f>+IFERROR(VLOOKUP($W$13,'RCF-PPM'!$A$9:$C$20,3,0),"0")</f>
        <v>790812</v>
      </c>
      <c r="W15" s="1">
        <v>7</v>
      </c>
      <c r="X15" s="1">
        <v>1</v>
      </c>
      <c r="Y15" s="90">
        <f>+T15*X15</f>
        <v>65901</v>
      </c>
      <c r="Z15" s="90">
        <f>+U15*X15</f>
        <v>790812</v>
      </c>
    </row>
    <row r="16" spans="1:26" ht="15.75" thickBot="1" x14ac:dyDescent="0.3">
      <c r="A16" s="434"/>
      <c r="B16" s="436"/>
      <c r="C16" s="91" t="s">
        <v>430</v>
      </c>
      <c r="D16" s="92" t="s">
        <v>385</v>
      </c>
      <c r="E16" s="91" t="s">
        <v>430</v>
      </c>
      <c r="F16" s="92" t="s">
        <v>385</v>
      </c>
      <c r="G16" s="91" t="s">
        <v>430</v>
      </c>
      <c r="H16" s="92" t="s">
        <v>385</v>
      </c>
      <c r="I16" s="446"/>
      <c r="K16" s="1">
        <v>2024</v>
      </c>
      <c r="L16" s="1">
        <v>0</v>
      </c>
      <c r="M16" s="89">
        <v>1.4999999999999999E-2</v>
      </c>
      <c r="N16" s="89">
        <f>+L16*M16</f>
        <v>0</v>
      </c>
      <c r="O16" s="1">
        <f>+IF(L15=O15,L15-O15+L16,0)</f>
        <v>0</v>
      </c>
      <c r="P16" s="89">
        <v>0.02</v>
      </c>
      <c r="Q16" s="89">
        <f>+O16*P16</f>
        <v>0</v>
      </c>
      <c r="R16" s="89"/>
      <c r="S16" s="1" t="s">
        <v>431</v>
      </c>
      <c r="T16" s="93">
        <v>0.7</v>
      </c>
      <c r="U16" s="93">
        <v>0.7</v>
      </c>
      <c r="Y16" s="93">
        <v>0.7</v>
      </c>
      <c r="Z16" s="93">
        <v>0.7</v>
      </c>
    </row>
    <row r="17" spans="1:26" ht="15.75" thickBot="1" x14ac:dyDescent="0.3">
      <c r="A17" s="94"/>
      <c r="B17" s="95">
        <f>C12</f>
        <v>142364.14000000001</v>
      </c>
      <c r="C17" s="96">
        <f>+IF(L15=1,0,O11)</f>
        <v>0</v>
      </c>
      <c r="D17" s="97">
        <f>B17*C17</f>
        <v>0</v>
      </c>
      <c r="E17" s="98">
        <f>+N18</f>
        <v>1.4999999999999999E-2</v>
      </c>
      <c r="F17" s="99">
        <f>(B17+D17)*E17</f>
        <v>2135.4621000000002</v>
      </c>
      <c r="G17" s="169">
        <f>+IF(Q18&lt;R18,Q18,R18)</f>
        <v>0.1</v>
      </c>
      <c r="H17" s="99">
        <f>(B17+D17)*G17</f>
        <v>14236.414000000002</v>
      </c>
      <c r="I17" s="100">
        <f>B17+D17+F17+H17</f>
        <v>158736.01610000001</v>
      </c>
      <c r="Q17" s="89"/>
      <c r="R17" s="89"/>
      <c r="S17" s="1" t="s">
        <v>432</v>
      </c>
      <c r="T17" s="90">
        <f>(T15*T16)*-1</f>
        <v>-46130.7</v>
      </c>
      <c r="U17" s="90">
        <f>(U15*U16)*-1</f>
        <v>-553568.39999999991</v>
      </c>
      <c r="Y17" s="90">
        <f t="shared" ref="Y17:Z17" si="0">(Y15*Y16)*-1</f>
        <v>-46130.7</v>
      </c>
      <c r="Z17" s="90">
        <f t="shared" si="0"/>
        <v>-553568.39999999991</v>
      </c>
    </row>
    <row r="18" spans="1:26" x14ac:dyDescent="0.25">
      <c r="A18" s="59" t="s">
        <v>431</v>
      </c>
      <c r="E18" s="93">
        <v>0.7</v>
      </c>
      <c r="F18" s="101">
        <f>+ROUND(F17*E18,0)*-1</f>
        <v>-1495</v>
      </c>
      <c r="G18" s="101"/>
      <c r="H18" s="101">
        <f>+ROUND(H17*E18,0)*-1</f>
        <v>-9965</v>
      </c>
      <c r="I18" s="101">
        <f>+F18+H18</f>
        <v>-11460</v>
      </c>
      <c r="K18" s="163" t="s">
        <v>17</v>
      </c>
      <c r="L18" s="163">
        <f>SUM(L15:L17)</f>
        <v>1</v>
      </c>
      <c r="M18" s="170">
        <f t="shared" ref="M18:R18" si="1">SUM(M15:M17)</f>
        <v>0.03</v>
      </c>
      <c r="N18" s="170">
        <f t="shared" si="1"/>
        <v>1.4999999999999999E-2</v>
      </c>
      <c r="O18" s="163">
        <f t="shared" si="1"/>
        <v>1</v>
      </c>
      <c r="P18" s="170">
        <f t="shared" si="1"/>
        <v>0.12000000000000001</v>
      </c>
      <c r="Q18" s="170">
        <f t="shared" si="1"/>
        <v>0.1</v>
      </c>
      <c r="R18" s="170">
        <f t="shared" si="1"/>
        <v>0.3</v>
      </c>
      <c r="S18" s="163"/>
      <c r="T18" s="164">
        <f>+T15+T17</f>
        <v>19770.300000000003</v>
      </c>
      <c r="U18" s="164">
        <f>+U15+U17</f>
        <v>237243.60000000009</v>
      </c>
      <c r="Y18" s="164">
        <f t="shared" ref="Y18:Z18" si="2">+Y15+Y17</f>
        <v>19770.300000000003</v>
      </c>
      <c r="Z18" s="164">
        <f t="shared" si="2"/>
        <v>237243.60000000009</v>
      </c>
    </row>
    <row r="19" spans="1:26" x14ac:dyDescent="0.25">
      <c r="A19" s="163" t="s">
        <v>433</v>
      </c>
      <c r="B19" s="171">
        <f>+B17+B18</f>
        <v>142364.14000000001</v>
      </c>
      <c r="C19" s="163"/>
      <c r="D19" s="171">
        <f>+D17+D18</f>
        <v>0</v>
      </c>
      <c r="E19" s="163"/>
      <c r="F19" s="171">
        <f>+F17+F18</f>
        <v>640.46210000000019</v>
      </c>
      <c r="G19" s="163"/>
      <c r="H19" s="171">
        <f>+H17+H18</f>
        <v>4271.4140000000025</v>
      </c>
      <c r="I19" s="171">
        <f>+I17+I18</f>
        <v>147276.01610000001</v>
      </c>
    </row>
    <row r="20" spans="1:26" x14ac:dyDescent="0.25">
      <c r="A20" s="59"/>
      <c r="B20" s="102"/>
      <c r="C20" s="59"/>
      <c r="D20" s="102"/>
      <c r="E20" s="59"/>
      <c r="F20" s="102"/>
      <c r="G20" s="59"/>
      <c r="H20" s="102"/>
      <c r="I20" s="102"/>
    </row>
    <row r="21" spans="1:26" x14ac:dyDescent="0.25">
      <c r="I21" s="408">
        <f>+I19-C12</f>
        <v>4911.876099999994</v>
      </c>
    </row>
  </sheetData>
  <mergeCells count="23">
    <mergeCell ref="A9:I9"/>
    <mergeCell ref="A11:B11"/>
    <mergeCell ref="C11:F11"/>
    <mergeCell ref="G11:I11"/>
    <mergeCell ref="K11:N11"/>
    <mergeCell ref="S11:T11"/>
    <mergeCell ref="A12:B12"/>
    <mergeCell ref="C12:F12"/>
    <mergeCell ref="G12:I12"/>
    <mergeCell ref="K12:L13"/>
    <mergeCell ref="M12:N13"/>
    <mergeCell ref="O12:R13"/>
    <mergeCell ref="S12:S13"/>
    <mergeCell ref="T12:U13"/>
    <mergeCell ref="P11:Q11"/>
    <mergeCell ref="M14:N14"/>
    <mergeCell ref="O14:P14"/>
    <mergeCell ref="A14:A16"/>
    <mergeCell ref="B14:B16"/>
    <mergeCell ref="C14:D15"/>
    <mergeCell ref="E14:F15"/>
    <mergeCell ref="G14:H15"/>
    <mergeCell ref="I14:I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FCBF-1D3A-4797-9E77-F8E2F03C267B}">
  <dimension ref="B2:AC224"/>
  <sheetViews>
    <sheetView showGridLines="0" view="pageBreakPreview" zoomScale="90" zoomScaleNormal="75" zoomScaleSheetLayoutView="90" workbookViewId="0">
      <pane ySplit="8" topLeftCell="A97" activePane="bottomLeft" state="frozen"/>
      <selection pane="bottomLeft" activeCell="S118" sqref="S118"/>
    </sheetView>
  </sheetViews>
  <sheetFormatPr baseColWidth="10" defaultColWidth="11.42578125" defaultRowHeight="15" x14ac:dyDescent="0.25"/>
  <cols>
    <col min="1" max="1" width="3.5703125" style="1" customWidth="1"/>
    <col min="2" max="2" width="4.7109375" style="1" bestFit="1" customWidth="1"/>
    <col min="3" max="3" width="14.42578125" style="1" customWidth="1"/>
    <col min="4" max="5" width="11.42578125" style="1"/>
    <col min="6" max="7" width="4.7109375" style="1" bestFit="1" customWidth="1"/>
    <col min="8" max="8" width="11.42578125" style="1"/>
    <col min="9" max="9" width="5.28515625" style="1" bestFit="1" customWidth="1"/>
    <col min="10" max="10" width="4.7109375" style="1" bestFit="1" customWidth="1"/>
    <col min="11" max="11" width="21.140625" style="1" customWidth="1"/>
    <col min="12" max="12" width="11.42578125" style="1"/>
    <col min="13" max="13" width="6.85546875" style="1" customWidth="1"/>
    <col min="14" max="14" width="8.28515625" style="1" bestFit="1" customWidth="1"/>
    <col min="15" max="15" width="4.7109375" style="1" bestFit="1" customWidth="1"/>
    <col min="16" max="16" width="17.5703125" style="1" customWidth="1"/>
    <col min="17" max="17" width="2.42578125" style="1" bestFit="1" customWidth="1"/>
    <col min="18" max="18" width="4.7109375" style="1" bestFit="1" customWidth="1"/>
    <col min="19" max="19" width="17.85546875" style="1" customWidth="1"/>
    <col min="20" max="20" width="2.42578125" style="1" bestFit="1" customWidth="1"/>
    <col min="21" max="21" width="11.42578125" style="1"/>
    <col min="22" max="22" width="13.5703125" style="38" customWidth="1"/>
    <col min="23" max="23" width="12" style="38" customWidth="1"/>
    <col min="24" max="24" width="6.5703125" style="1" customWidth="1"/>
    <col min="25" max="16384" width="11.42578125" style="1"/>
  </cols>
  <sheetData>
    <row r="2" spans="2:23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3" x14ac:dyDescent="0.25">
      <c r="B3" s="3"/>
      <c r="C3" s="551" t="s">
        <v>21</v>
      </c>
      <c r="D3" s="552"/>
      <c r="E3" s="553"/>
      <c r="F3" s="3"/>
      <c r="G3" s="3"/>
      <c r="H3" s="3"/>
      <c r="I3" s="551" t="s">
        <v>22</v>
      </c>
      <c r="J3" s="552"/>
      <c r="K3" s="552"/>
      <c r="L3" s="552"/>
      <c r="M3" s="553"/>
      <c r="N3" s="3"/>
      <c r="O3" s="3"/>
      <c r="P3" s="3"/>
      <c r="Q3" s="551" t="s">
        <v>23</v>
      </c>
      <c r="R3" s="552"/>
      <c r="S3" s="553"/>
      <c r="T3" s="3"/>
    </row>
    <row r="4" spans="2:23" x14ac:dyDescent="0.25">
      <c r="B4" s="2"/>
      <c r="C4" s="554">
        <v>15</v>
      </c>
      <c r="D4" s="123" t="s">
        <v>24</v>
      </c>
      <c r="E4" s="4" t="s">
        <v>25</v>
      </c>
      <c r="F4" s="2"/>
      <c r="G4" s="2"/>
      <c r="H4" s="2"/>
      <c r="I4" s="554">
        <v>3</v>
      </c>
      <c r="J4" s="556">
        <f>+Indice!B9</f>
        <v>0</v>
      </c>
      <c r="K4" s="556"/>
      <c r="L4" s="556"/>
      <c r="M4" s="557"/>
      <c r="N4" s="2"/>
      <c r="O4" s="2"/>
      <c r="P4" s="2"/>
      <c r="Q4" s="554">
        <v>7</v>
      </c>
      <c r="R4" s="560"/>
      <c r="S4" s="561"/>
      <c r="T4" s="2"/>
    </row>
    <row r="5" spans="2:23" ht="15.75" thickBot="1" x14ac:dyDescent="0.3">
      <c r="B5" s="2"/>
      <c r="C5" s="555"/>
      <c r="D5" s="5">
        <v>7</v>
      </c>
      <c r="E5" s="6">
        <v>2024</v>
      </c>
      <c r="F5" s="2"/>
      <c r="G5" s="2"/>
      <c r="H5" s="2"/>
      <c r="I5" s="555"/>
      <c r="J5" s="558"/>
      <c r="K5" s="558"/>
      <c r="L5" s="558"/>
      <c r="M5" s="559"/>
      <c r="N5" s="2"/>
      <c r="O5" s="2"/>
      <c r="P5" s="2"/>
      <c r="Q5" s="555"/>
      <c r="R5" s="562"/>
      <c r="S5" s="563"/>
      <c r="T5" s="2"/>
    </row>
    <row r="6" spans="2:23" ht="15.75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3" x14ac:dyDescent="0.25">
      <c r="B7" s="7">
        <v>1</v>
      </c>
      <c r="C7" s="485" t="s">
        <v>26</v>
      </c>
      <c r="D7" s="485"/>
      <c r="E7" s="485"/>
      <c r="F7" s="485"/>
      <c r="G7" s="485"/>
      <c r="H7" s="485"/>
      <c r="I7" s="8">
        <v>2</v>
      </c>
      <c r="J7" s="485" t="s">
        <v>27</v>
      </c>
      <c r="K7" s="485"/>
      <c r="L7" s="485"/>
      <c r="M7" s="485"/>
      <c r="N7" s="485"/>
      <c r="O7" s="8">
        <v>5</v>
      </c>
      <c r="P7" s="485" t="s">
        <v>28</v>
      </c>
      <c r="Q7" s="485"/>
      <c r="R7" s="485"/>
      <c r="S7" s="485"/>
      <c r="T7" s="498"/>
    </row>
    <row r="8" spans="2:23" ht="15.75" thickBot="1" x14ac:dyDescent="0.3">
      <c r="B8" s="564">
        <f>+Indice!B8</f>
        <v>0</v>
      </c>
      <c r="C8" s="562"/>
      <c r="D8" s="562"/>
      <c r="E8" s="562"/>
      <c r="F8" s="562"/>
      <c r="G8" s="562"/>
      <c r="H8" s="562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6"/>
    </row>
    <row r="9" spans="2:23" ht="15.75" thickBot="1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3" x14ac:dyDescent="0.25">
      <c r="B10" s="484" t="s">
        <v>29</v>
      </c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6"/>
    </row>
    <row r="11" spans="2:23" x14ac:dyDescent="0.25">
      <c r="B11" s="518" t="s">
        <v>30</v>
      </c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47"/>
    </row>
    <row r="12" spans="2:23" x14ac:dyDescent="0.25">
      <c r="B12" s="518" t="s">
        <v>31</v>
      </c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47"/>
    </row>
    <row r="13" spans="2:23" x14ac:dyDescent="0.25">
      <c r="B13" s="503" t="s">
        <v>32</v>
      </c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 t="s">
        <v>33</v>
      </c>
      <c r="N13" s="504"/>
      <c r="O13" s="504"/>
      <c r="P13" s="504"/>
      <c r="Q13" s="504"/>
      <c r="R13" s="504" t="s">
        <v>34</v>
      </c>
      <c r="S13" s="504"/>
      <c r="T13" s="505"/>
    </row>
    <row r="14" spans="2:23" x14ac:dyDescent="0.25">
      <c r="B14" s="49">
        <v>1</v>
      </c>
      <c r="C14" s="471" t="s">
        <v>35</v>
      </c>
      <c r="D14" s="471"/>
      <c r="E14" s="471"/>
      <c r="F14" s="471"/>
      <c r="G14" s="471"/>
      <c r="H14" s="471"/>
      <c r="I14" s="471"/>
      <c r="J14" s="471"/>
      <c r="K14" s="471"/>
      <c r="L14" s="471"/>
      <c r="M14" s="125">
        <v>585</v>
      </c>
      <c r="N14" s="506"/>
      <c r="O14" s="506"/>
      <c r="P14" s="506"/>
      <c r="Q14" s="506"/>
      <c r="R14" s="125">
        <v>20</v>
      </c>
      <c r="S14" s="127"/>
      <c r="T14" s="48"/>
    </row>
    <row r="15" spans="2:23" s="314" customFormat="1" x14ac:dyDescent="0.25">
      <c r="B15" s="244">
        <v>2</v>
      </c>
      <c r="C15" s="520" t="s">
        <v>36</v>
      </c>
      <c r="D15" s="520"/>
      <c r="E15" s="520"/>
      <c r="F15" s="520"/>
      <c r="G15" s="520"/>
      <c r="H15" s="520"/>
      <c r="I15" s="520"/>
      <c r="J15" s="520"/>
      <c r="K15" s="520"/>
      <c r="L15" s="520"/>
      <c r="M15" s="245">
        <v>586</v>
      </c>
      <c r="N15" s="521">
        <f>+IFERROR(VLOOKUP(U15,Resumen!$A$21:$G$27,3,0),"0")+IFERROR(VLOOKUP(U16,Resumen!$A$21:$G$27,3,0),"0")+IFERROR(VLOOKUP(U17,Resumen!$A$21:$G$27,3,0),"0")</f>
        <v>275</v>
      </c>
      <c r="O15" s="521"/>
      <c r="P15" s="521"/>
      <c r="Q15" s="521"/>
      <c r="R15" s="245">
        <v>142</v>
      </c>
      <c r="S15" s="283">
        <f>+IFERROR(VLOOKUP(U15,Resumen!$A$21:$G$27,4,0),"0")+IFERROR(VLOOKUP(U16,Resumen!$A$21:$G$27,4,0),"0")+IFERROR(VLOOKUP(U17,Resumen!$A$21:$G$27,4,0),"0")</f>
        <v>5103800</v>
      </c>
      <c r="T15" s="279"/>
      <c r="U15" s="314">
        <v>48</v>
      </c>
      <c r="V15" s="402">
        <f>+IFERROR(VLOOKUP(U15,Resumen!$A$21:$G$27,4,0),"0")</f>
        <v>1335900</v>
      </c>
      <c r="W15" s="358"/>
    </row>
    <row r="16" spans="2:23" x14ac:dyDescent="0.25">
      <c r="B16" s="49">
        <v>3</v>
      </c>
      <c r="C16" s="471" t="s">
        <v>37</v>
      </c>
      <c r="D16" s="471"/>
      <c r="E16" s="471"/>
      <c r="F16" s="471"/>
      <c r="G16" s="471"/>
      <c r="H16" s="471"/>
      <c r="I16" s="471"/>
      <c r="J16" s="471"/>
      <c r="K16" s="471"/>
      <c r="L16" s="471"/>
      <c r="M16" s="125">
        <v>731</v>
      </c>
      <c r="N16" s="506"/>
      <c r="O16" s="506"/>
      <c r="P16" s="506"/>
      <c r="Q16" s="506"/>
      <c r="R16" s="125">
        <v>732</v>
      </c>
      <c r="S16" s="127"/>
      <c r="T16" s="48"/>
      <c r="U16" s="1">
        <v>41</v>
      </c>
      <c r="V16" s="64">
        <f>+IFERROR(VLOOKUP(U16,Resumen!$A$21:$G$27,4,0),"0")</f>
        <v>3767900</v>
      </c>
    </row>
    <row r="17" spans="2:23" x14ac:dyDescent="0.25">
      <c r="B17" s="49">
        <v>4</v>
      </c>
      <c r="C17" s="471" t="s">
        <v>38</v>
      </c>
      <c r="D17" s="471"/>
      <c r="E17" s="471"/>
      <c r="F17" s="471"/>
      <c r="G17" s="471"/>
      <c r="H17" s="471"/>
      <c r="I17" s="471"/>
      <c r="J17" s="471"/>
      <c r="K17" s="471"/>
      <c r="L17" s="471"/>
      <c r="M17" s="125">
        <v>714</v>
      </c>
      <c r="N17" s="506"/>
      <c r="O17" s="506"/>
      <c r="P17" s="506"/>
      <c r="Q17" s="506"/>
      <c r="R17" s="125">
        <v>715</v>
      </c>
      <c r="S17" s="127"/>
      <c r="T17" s="48"/>
      <c r="U17" s="1">
        <v>34</v>
      </c>
      <c r="V17" s="64" t="str">
        <f>+IFERROR(VLOOKUP(U17,Resumen!$A$21:$G$27,4,0),"0")</f>
        <v>0</v>
      </c>
    </row>
    <row r="18" spans="2:23" x14ac:dyDescent="0.25">
      <c r="B18" s="49">
        <v>5</v>
      </c>
      <c r="C18" s="471" t="s">
        <v>39</v>
      </c>
      <c r="D18" s="471"/>
      <c r="E18" s="471"/>
      <c r="F18" s="471"/>
      <c r="G18" s="471"/>
      <c r="H18" s="471"/>
      <c r="I18" s="471"/>
      <c r="J18" s="471"/>
      <c r="K18" s="471"/>
      <c r="L18" s="471"/>
      <c r="M18" s="125">
        <v>515</v>
      </c>
      <c r="N18" s="506"/>
      <c r="O18" s="506"/>
      <c r="P18" s="506"/>
      <c r="Q18" s="506"/>
      <c r="R18" s="125">
        <v>587</v>
      </c>
      <c r="S18" s="127"/>
      <c r="T18" s="48"/>
    </row>
    <row r="19" spans="2:23" x14ac:dyDescent="0.25">
      <c r="B19" s="49">
        <v>6</v>
      </c>
      <c r="C19" s="471" t="s">
        <v>40</v>
      </c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125">
        <v>720</v>
      </c>
      <c r="S19" s="127"/>
      <c r="T19" s="48"/>
    </row>
    <row r="20" spans="2:23" x14ac:dyDescent="0.25">
      <c r="B20" s="503" t="s">
        <v>41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 t="s">
        <v>33</v>
      </c>
      <c r="N20" s="504"/>
      <c r="O20" s="504"/>
      <c r="P20" s="504"/>
      <c r="Q20" s="504"/>
      <c r="R20" s="504" t="s">
        <v>42</v>
      </c>
      <c r="S20" s="504"/>
      <c r="T20" s="47"/>
    </row>
    <row r="21" spans="2:23" s="314" customFormat="1" x14ac:dyDescent="0.25">
      <c r="B21" s="244">
        <v>7</v>
      </c>
      <c r="C21" s="520" t="s">
        <v>43</v>
      </c>
      <c r="D21" s="520"/>
      <c r="E21" s="520"/>
      <c r="F21" s="520"/>
      <c r="G21" s="520"/>
      <c r="H21" s="520"/>
      <c r="I21" s="520"/>
      <c r="J21" s="520"/>
      <c r="K21" s="520"/>
      <c r="L21" s="520"/>
      <c r="M21" s="245">
        <v>503</v>
      </c>
      <c r="N21" s="521">
        <f>+IFERROR(VLOOKUP(U21,Resumen!$A$21:$G$27,3,0),"0")</f>
        <v>21</v>
      </c>
      <c r="O21" s="521"/>
      <c r="P21" s="521"/>
      <c r="Q21" s="521"/>
      <c r="R21" s="245">
        <v>502</v>
      </c>
      <c r="S21" s="283">
        <f>+IFERROR(VLOOKUP(U21,Resumen!$A$21:$G$27,6,0),"0")</f>
        <v>688417</v>
      </c>
      <c r="T21" s="279" t="s">
        <v>44</v>
      </c>
      <c r="U21" s="314">
        <v>33</v>
      </c>
      <c r="V21" s="358"/>
      <c r="W21" s="358"/>
    </row>
    <row r="22" spans="2:23" x14ac:dyDescent="0.25">
      <c r="B22" s="49">
        <v>8</v>
      </c>
      <c r="C22" s="471" t="s">
        <v>45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125">
        <v>763</v>
      </c>
      <c r="N22" s="506"/>
      <c r="O22" s="506"/>
      <c r="P22" s="506"/>
      <c r="Q22" s="506"/>
      <c r="R22" s="125">
        <v>764</v>
      </c>
      <c r="S22" s="129"/>
      <c r="T22" s="48" t="s">
        <v>44</v>
      </c>
    </row>
    <row r="23" spans="2:23" x14ac:dyDescent="0.25">
      <c r="B23" s="49">
        <v>9</v>
      </c>
      <c r="C23" s="471" t="s">
        <v>46</v>
      </c>
      <c r="D23" s="471"/>
      <c r="E23" s="471"/>
      <c r="F23" s="471"/>
      <c r="G23" s="471"/>
      <c r="H23" s="471"/>
      <c r="I23" s="471"/>
      <c r="J23" s="471"/>
      <c r="K23" s="471"/>
      <c r="L23" s="471"/>
      <c r="M23" s="125">
        <v>716</v>
      </c>
      <c r="N23" s="506"/>
      <c r="O23" s="506"/>
      <c r="P23" s="506"/>
      <c r="Q23" s="506"/>
      <c r="R23" s="125">
        <v>717</v>
      </c>
      <c r="S23" s="129"/>
      <c r="T23" s="48" t="s">
        <v>44</v>
      </c>
    </row>
    <row r="24" spans="2:23" s="314" customFormat="1" x14ac:dyDescent="0.25">
      <c r="B24" s="244">
        <v>10</v>
      </c>
      <c r="C24" s="520" t="s">
        <v>47</v>
      </c>
      <c r="D24" s="520"/>
      <c r="E24" s="520"/>
      <c r="F24" s="520"/>
      <c r="G24" s="520"/>
      <c r="H24" s="520"/>
      <c r="I24" s="520"/>
      <c r="J24" s="520"/>
      <c r="K24" s="520"/>
      <c r="L24" s="520"/>
      <c r="M24" s="245">
        <v>110</v>
      </c>
      <c r="N24" s="521">
        <f>+IFERROR(VLOOKUP(U24,Resumen!$A$21:$G$27,3,0),"0")</f>
        <v>6</v>
      </c>
      <c r="O24" s="521"/>
      <c r="P24" s="521"/>
      <c r="Q24" s="521"/>
      <c r="R24" s="245">
        <v>111</v>
      </c>
      <c r="S24" s="283">
        <f>+IFERROR(VLOOKUP(U24,Resumen!$A$21:$G$27,6,0),"0")</f>
        <v>28108</v>
      </c>
      <c r="T24" s="279" t="s">
        <v>44</v>
      </c>
      <c r="U24" s="314">
        <v>39</v>
      </c>
      <c r="V24" s="358"/>
      <c r="W24" s="358"/>
    </row>
    <row r="25" spans="2:23" s="314" customFormat="1" x14ac:dyDescent="0.25">
      <c r="B25" s="244">
        <v>11</v>
      </c>
      <c r="C25" s="520" t="s">
        <v>48</v>
      </c>
      <c r="D25" s="520"/>
      <c r="E25" s="520"/>
      <c r="F25" s="520"/>
      <c r="G25" s="520"/>
      <c r="H25" s="520"/>
      <c r="I25" s="520"/>
      <c r="J25" s="520"/>
      <c r="K25" s="520"/>
      <c r="L25" s="520"/>
      <c r="M25" s="245">
        <v>758</v>
      </c>
      <c r="N25" s="521">
        <f>+IFERROR(VLOOKUP(U25,Resumen!$A$21:$G$27,3,0),"0")</f>
        <v>187</v>
      </c>
      <c r="O25" s="521"/>
      <c r="P25" s="521"/>
      <c r="Q25" s="521"/>
      <c r="R25" s="245">
        <v>759</v>
      </c>
      <c r="S25" s="283">
        <f>+IFERROR(VLOOKUP(U25,Resumen!$A$21:$G$27,6,0),"0")</f>
        <v>61839</v>
      </c>
      <c r="T25" s="279" t="s">
        <v>44</v>
      </c>
      <c r="U25" s="314">
        <v>48</v>
      </c>
      <c r="V25" s="358"/>
      <c r="W25" s="358"/>
    </row>
    <row r="26" spans="2:23" x14ac:dyDescent="0.25">
      <c r="B26" s="49">
        <v>12</v>
      </c>
      <c r="C26" s="471" t="s">
        <v>49</v>
      </c>
      <c r="D26" s="471"/>
      <c r="E26" s="471"/>
      <c r="F26" s="471"/>
      <c r="G26" s="471"/>
      <c r="H26" s="471"/>
      <c r="I26" s="471"/>
      <c r="J26" s="471"/>
      <c r="K26" s="471"/>
      <c r="L26" s="471"/>
      <c r="M26" s="125">
        <v>512</v>
      </c>
      <c r="N26" s="541" t="str">
        <f>+IFERROR(VLOOKUP(U26,Resumen!$A$21:$G$27,3,0),"0")</f>
        <v>0</v>
      </c>
      <c r="O26" s="541"/>
      <c r="P26" s="541"/>
      <c r="Q26" s="541"/>
      <c r="R26" s="125">
        <v>513</v>
      </c>
      <c r="S26" s="129" t="str">
        <f>+IFERROR(VLOOKUP(U26,Resumen!$A$21:$G$27,6,0),"0")</f>
        <v>0</v>
      </c>
      <c r="T26" s="48" t="s">
        <v>44</v>
      </c>
      <c r="U26" s="1">
        <v>60</v>
      </c>
    </row>
    <row r="27" spans="2:23" x14ac:dyDescent="0.25">
      <c r="B27" s="49">
        <v>13</v>
      </c>
      <c r="C27" s="520" t="s">
        <v>50</v>
      </c>
      <c r="D27" s="520"/>
      <c r="E27" s="520"/>
      <c r="F27" s="520"/>
      <c r="G27" s="520"/>
      <c r="H27" s="520"/>
      <c r="I27" s="520"/>
      <c r="J27" s="520"/>
      <c r="K27" s="520"/>
      <c r="L27" s="520"/>
      <c r="M27" s="245">
        <v>509</v>
      </c>
      <c r="N27" s="521">
        <f>+IFERROR(VLOOKUP(U27,Resumen!$A$21:$G$27,3,0),"0")</f>
        <v>1</v>
      </c>
      <c r="O27" s="521"/>
      <c r="P27" s="521"/>
      <c r="Q27" s="521"/>
      <c r="R27" s="245">
        <v>510</v>
      </c>
      <c r="S27" s="283">
        <f>+IFERROR(VLOOKUP(U27,Resumen!$A$21:$G$27,6,0),"0")*-1</f>
        <v>24173</v>
      </c>
      <c r="T27" s="48" t="s">
        <v>51</v>
      </c>
      <c r="U27" s="1">
        <v>61</v>
      </c>
    </row>
    <row r="28" spans="2:23" x14ac:dyDescent="0.25">
      <c r="B28" s="49">
        <v>14</v>
      </c>
      <c r="C28" s="471" t="s">
        <v>52</v>
      </c>
      <c r="D28" s="471"/>
      <c r="E28" s="471"/>
      <c r="F28" s="471"/>
      <c r="G28" s="471"/>
      <c r="H28" s="471"/>
      <c r="I28" s="471"/>
      <c r="J28" s="471"/>
      <c r="K28" s="471"/>
      <c r="L28" s="471"/>
      <c r="M28" s="125">
        <v>708</v>
      </c>
      <c r="N28" s="541" t="str">
        <f>+IFERROR(VLOOKUP(U28,Resumen!$A$21:$G$27,3,0),"0")</f>
        <v>0</v>
      </c>
      <c r="O28" s="541"/>
      <c r="P28" s="541"/>
      <c r="Q28" s="541"/>
      <c r="R28" s="125">
        <v>709</v>
      </c>
      <c r="S28" s="129" t="str">
        <f>+IFERROR(VLOOKUP(U28,Resumen!$A$21:$G$27,6,0),"0")</f>
        <v>0</v>
      </c>
      <c r="T28" s="48" t="s">
        <v>51</v>
      </c>
    </row>
    <row r="29" spans="2:23" x14ac:dyDescent="0.25">
      <c r="B29" s="49">
        <v>15</v>
      </c>
      <c r="C29" s="471" t="s">
        <v>53</v>
      </c>
      <c r="D29" s="471"/>
      <c r="E29" s="471"/>
      <c r="F29" s="471"/>
      <c r="G29" s="471"/>
      <c r="H29" s="471"/>
      <c r="I29" s="471"/>
      <c r="J29" s="471"/>
      <c r="K29" s="471"/>
      <c r="L29" s="471"/>
      <c r="M29" s="125">
        <v>733</v>
      </c>
      <c r="N29" s="506"/>
      <c r="O29" s="506"/>
      <c r="P29" s="506"/>
      <c r="Q29" s="506"/>
      <c r="R29" s="125">
        <v>734</v>
      </c>
      <c r="S29" s="129"/>
      <c r="T29" s="48" t="s">
        <v>51</v>
      </c>
    </row>
    <row r="30" spans="2:23" x14ac:dyDescent="0.25">
      <c r="B30" s="49">
        <v>16</v>
      </c>
      <c r="C30" s="471" t="s">
        <v>54</v>
      </c>
      <c r="D30" s="471"/>
      <c r="E30" s="471"/>
      <c r="F30" s="471"/>
      <c r="G30" s="471"/>
      <c r="H30" s="471"/>
      <c r="I30" s="471"/>
      <c r="J30" s="471"/>
      <c r="K30" s="471"/>
      <c r="L30" s="471"/>
      <c r="M30" s="125">
        <v>516</v>
      </c>
      <c r="N30" s="506"/>
      <c r="O30" s="506"/>
      <c r="P30" s="506"/>
      <c r="Q30" s="506"/>
      <c r="R30" s="125">
        <v>517</v>
      </c>
      <c r="S30" s="129"/>
      <c r="T30" s="48" t="s">
        <v>44</v>
      </c>
    </row>
    <row r="31" spans="2:23" x14ac:dyDescent="0.25">
      <c r="B31" s="49">
        <v>17</v>
      </c>
      <c r="C31" s="471" t="s">
        <v>55</v>
      </c>
      <c r="D31" s="471"/>
      <c r="E31" s="471"/>
      <c r="F31" s="471"/>
      <c r="G31" s="471"/>
      <c r="H31" s="471"/>
      <c r="I31" s="471"/>
      <c r="J31" s="471"/>
      <c r="K31" s="471"/>
      <c r="L31" s="471"/>
      <c r="M31" s="125">
        <v>500</v>
      </c>
      <c r="N31" s="506"/>
      <c r="O31" s="506"/>
      <c r="P31" s="506"/>
      <c r="Q31" s="506"/>
      <c r="R31" s="125">
        <v>501</v>
      </c>
      <c r="S31" s="129"/>
      <c r="T31" s="48" t="s">
        <v>44</v>
      </c>
    </row>
    <row r="32" spans="2:23" x14ac:dyDescent="0.25">
      <c r="B32" s="49">
        <v>18</v>
      </c>
      <c r="C32" s="471" t="s">
        <v>56</v>
      </c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125">
        <v>154</v>
      </c>
      <c r="S32" s="129"/>
      <c r="T32" s="48" t="s">
        <v>44</v>
      </c>
    </row>
    <row r="33" spans="2:29" x14ac:dyDescent="0.25">
      <c r="B33" s="49">
        <v>19</v>
      </c>
      <c r="C33" s="471" t="s">
        <v>57</v>
      </c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125">
        <v>518</v>
      </c>
      <c r="S33" s="129"/>
      <c r="T33" s="48" t="s">
        <v>44</v>
      </c>
    </row>
    <row r="34" spans="2:29" x14ac:dyDescent="0.25">
      <c r="B34" s="49">
        <v>20</v>
      </c>
      <c r="C34" s="471" t="s">
        <v>58</v>
      </c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125">
        <v>713</v>
      </c>
      <c r="S34" s="129"/>
      <c r="T34" s="48" t="s">
        <v>44</v>
      </c>
    </row>
    <row r="35" spans="2:29" x14ac:dyDescent="0.25">
      <c r="B35" s="49">
        <v>21</v>
      </c>
      <c r="C35" s="471" t="s">
        <v>59</v>
      </c>
      <c r="D35" s="471"/>
      <c r="E35" s="471"/>
      <c r="F35" s="124" t="s">
        <v>60</v>
      </c>
      <c r="G35" s="125">
        <v>738</v>
      </c>
      <c r="H35" s="126"/>
      <c r="I35" s="124" t="s">
        <v>61</v>
      </c>
      <c r="J35" s="125">
        <v>739</v>
      </c>
      <c r="K35" s="506"/>
      <c r="L35" s="506"/>
      <c r="M35" s="506"/>
      <c r="N35" s="124" t="s">
        <v>62</v>
      </c>
      <c r="O35" s="125">
        <v>740</v>
      </c>
      <c r="P35" s="506"/>
      <c r="Q35" s="506"/>
      <c r="R35" s="125">
        <v>741</v>
      </c>
      <c r="S35" s="129"/>
      <c r="T35" s="48" t="s">
        <v>44</v>
      </c>
    </row>
    <row r="36" spans="2:29" x14ac:dyDescent="0.25">
      <c r="B36" s="117">
        <v>22</v>
      </c>
      <c r="C36" s="478" t="s">
        <v>63</v>
      </c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479"/>
      <c r="R36" s="118">
        <v>791</v>
      </c>
      <c r="S36" s="130"/>
      <c r="T36" s="48" t="s">
        <v>44</v>
      </c>
    </row>
    <row r="37" spans="2:29" ht="15.75" thickBot="1" x14ac:dyDescent="0.3">
      <c r="B37" s="10">
        <v>23</v>
      </c>
      <c r="C37" s="470" t="s">
        <v>64</v>
      </c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52">
        <v>538</v>
      </c>
      <c r="S37" s="381">
        <f>+S21+S22+S23+S24+S25+S26-S27-S28-S29+S30+S31+S32+S33+S34+S35+S36</f>
        <v>754191</v>
      </c>
      <c r="T37" s="11" t="s">
        <v>65</v>
      </c>
      <c r="U37" s="354">
        <f>+S37-Resumen!F28</f>
        <v>0</v>
      </c>
    </row>
    <row r="38" spans="2:29" ht="15.75" thickBot="1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2:29" x14ac:dyDescent="0.25">
      <c r="B39" s="484" t="s">
        <v>66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6"/>
    </row>
    <row r="40" spans="2:29" ht="18" customHeight="1" x14ac:dyDescent="0.25">
      <c r="B40" s="518" t="s">
        <v>67</v>
      </c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47"/>
      <c r="V40" s="544"/>
      <c r="W40" s="544"/>
    </row>
    <row r="41" spans="2:29" ht="27" customHeight="1" x14ac:dyDescent="0.25">
      <c r="B41" s="503" t="s">
        <v>69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 t="s">
        <v>70</v>
      </c>
      <c r="N41" s="504"/>
      <c r="O41" s="504"/>
      <c r="P41" s="504"/>
      <c r="Q41" s="504"/>
      <c r="R41" s="504" t="s">
        <v>71</v>
      </c>
      <c r="S41" s="504"/>
      <c r="T41" s="505"/>
      <c r="V41" s="131" t="s">
        <v>72</v>
      </c>
      <c r="W41" s="131" t="s">
        <v>73</v>
      </c>
    </row>
    <row r="42" spans="2:29" x14ac:dyDescent="0.25">
      <c r="B42" s="49">
        <v>24</v>
      </c>
      <c r="C42" s="471" t="s">
        <v>74</v>
      </c>
      <c r="D42" s="471"/>
      <c r="E42" s="471"/>
      <c r="F42" s="471"/>
      <c r="G42" s="471"/>
      <c r="H42" s="471"/>
      <c r="I42" s="471"/>
      <c r="J42" s="471"/>
      <c r="K42" s="471"/>
      <c r="L42" s="471"/>
      <c r="M42" s="125">
        <v>511</v>
      </c>
      <c r="N42" s="542">
        <f>+IFERROR(VLOOKUP(U42,Resumen!$A$7:$K$15,6,0),"0")+IFERROR(VLOOKUP(U43,Resumen!$A$7:$K$15,6,0),"0")+IFERROR(VLOOKUP(U55,Resumen!$A$7:$K$15,6,0),"0")+IFERROR(VLOOKUP(V58,Resumen!$B$7:$K$15,5,0),"0")+IFERROR(VLOOKUP(U56,Resumen!$A$7:$K$15,6,0),"0")</f>
        <v>1224037</v>
      </c>
      <c r="O42" s="542"/>
      <c r="P42" s="542"/>
      <c r="Q42" s="542"/>
      <c r="R42" s="125">
        <v>514</v>
      </c>
      <c r="S42" s="132">
        <f>+IFERROR(VLOOKUP(X44,Resumen!$B$7:$K$15,10,0),"0")+IFERROR(VLOOKUP(Y42,Resumen!$B$7:$K$15,10,0),"0")</f>
        <v>54027</v>
      </c>
      <c r="T42" s="48"/>
      <c r="U42" s="1">
        <v>33</v>
      </c>
      <c r="V42" s="77">
        <f>+IFERROR(VLOOKUP(U42,Resumen!$A$7:$K$15,10,0),"0")+W55+W54</f>
        <v>0</v>
      </c>
      <c r="W42" s="77">
        <f>+IFERROR(VLOOKUP(X44,Resumen!$B$7:$K$15,10,0),"0")</f>
        <v>44942</v>
      </c>
      <c r="X42" s="1">
        <v>33</v>
      </c>
      <c r="Y42" s="38" t="s">
        <v>88</v>
      </c>
      <c r="AA42" s="77"/>
      <c r="AB42" s="77"/>
      <c r="AC42" s="77"/>
    </row>
    <row r="43" spans="2:29" x14ac:dyDescent="0.25">
      <c r="B43" s="518" t="s">
        <v>75</v>
      </c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47"/>
      <c r="U43" s="1">
        <v>914</v>
      </c>
      <c r="V43" s="38" t="s">
        <v>76</v>
      </c>
      <c r="W43" s="38" t="s">
        <v>76</v>
      </c>
      <c r="Y43" s="78">
        <f>+IFERROR(VLOOKUP(Y42,Resumen!$B$7:$K$15,2,0),"0")</f>
        <v>1</v>
      </c>
    </row>
    <row r="44" spans="2:29" x14ac:dyDescent="0.25">
      <c r="B44" s="503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 t="s">
        <v>33</v>
      </c>
      <c r="N44" s="504"/>
      <c r="O44" s="504"/>
      <c r="P44" s="504"/>
      <c r="Q44" s="504"/>
      <c r="R44" s="504" t="s">
        <v>34</v>
      </c>
      <c r="S44" s="504"/>
      <c r="T44" s="505"/>
      <c r="U44" s="1">
        <v>33</v>
      </c>
      <c r="V44" s="38">
        <f>+ROUND(V42/0.19,0)</f>
        <v>0</v>
      </c>
      <c r="W44" s="38">
        <f>+ROUND(W42/0.19,0)</f>
        <v>236537</v>
      </c>
      <c r="X44" s="1" t="s">
        <v>77</v>
      </c>
    </row>
    <row r="45" spans="2:29" x14ac:dyDescent="0.25">
      <c r="B45" s="49">
        <v>25</v>
      </c>
      <c r="C45" s="471" t="s">
        <v>78</v>
      </c>
      <c r="D45" s="471"/>
      <c r="E45" s="471"/>
      <c r="F45" s="471"/>
      <c r="G45" s="471"/>
      <c r="H45" s="471"/>
      <c r="I45" s="471"/>
      <c r="J45" s="471"/>
      <c r="K45" s="471"/>
      <c r="L45" s="471"/>
      <c r="M45" s="125">
        <v>564</v>
      </c>
      <c r="N45" s="541">
        <f>+IFERROR(VLOOKUP(Y42,Resumen!$B$7:$K$15,2,0),"0")+IFERROR(VLOOKUP(X44,Resumen!$B$7:$K$15,2,0),"0")</f>
        <v>5</v>
      </c>
      <c r="O45" s="541"/>
      <c r="P45" s="541"/>
      <c r="Q45" s="541"/>
      <c r="R45" s="125">
        <v>521</v>
      </c>
      <c r="S45" s="132">
        <f>+W44</f>
        <v>236537</v>
      </c>
      <c r="T45" s="48"/>
      <c r="U45" s="78">
        <f>+IFERROR(VLOOKUP(U44,Resumen!$A$7:$K$15,3,0),"0")+V55</f>
        <v>6</v>
      </c>
      <c r="X45" s="78">
        <f>+IFERROR(VLOOKUP(X44,Resumen!$B$7:$K$15,2,0),"0")</f>
        <v>4</v>
      </c>
      <c r="Y45" s="78"/>
      <c r="Z45" s="78"/>
      <c r="AA45" s="78"/>
    </row>
    <row r="46" spans="2:29" x14ac:dyDescent="0.25">
      <c r="B46" s="49">
        <v>26</v>
      </c>
      <c r="C46" s="471" t="s">
        <v>79</v>
      </c>
      <c r="D46" s="471"/>
      <c r="E46" s="471"/>
      <c r="F46" s="471"/>
      <c r="G46" s="471"/>
      <c r="H46" s="471"/>
      <c r="I46" s="471"/>
      <c r="J46" s="471"/>
      <c r="K46" s="471"/>
      <c r="L46" s="471"/>
      <c r="M46" s="125">
        <v>566</v>
      </c>
      <c r="N46" s="506"/>
      <c r="O46" s="506"/>
      <c r="P46" s="506"/>
      <c r="Q46" s="506"/>
      <c r="R46" s="125">
        <v>560</v>
      </c>
      <c r="S46" s="127"/>
      <c r="T46" s="48"/>
    </row>
    <row r="47" spans="2:29" x14ac:dyDescent="0.25">
      <c r="B47" s="49">
        <v>27</v>
      </c>
      <c r="C47" s="471" t="s">
        <v>80</v>
      </c>
      <c r="D47" s="471"/>
      <c r="E47" s="471"/>
      <c r="F47" s="471"/>
      <c r="G47" s="471"/>
      <c r="H47" s="471"/>
      <c r="I47" s="471"/>
      <c r="J47" s="471"/>
      <c r="K47" s="471"/>
      <c r="L47" s="471"/>
      <c r="M47" s="125">
        <v>584</v>
      </c>
      <c r="N47" s="541">
        <f>+IFERROR(VLOOKUP(U47,Resumen!$A$7:$I$15,3,0),"0")</f>
        <v>1</v>
      </c>
      <c r="O47" s="541"/>
      <c r="P47" s="541"/>
      <c r="Q47" s="541"/>
      <c r="R47" s="125">
        <v>562</v>
      </c>
      <c r="S47" s="132">
        <f>+IFERROR(VLOOKUP(U47,Resumen!$A$7:$I$15,4,0),"0")</f>
        <v>205578</v>
      </c>
      <c r="T47" s="48"/>
      <c r="U47" s="1">
        <v>34</v>
      </c>
    </row>
    <row r="48" spans="2:29" x14ac:dyDescent="0.25">
      <c r="B48" s="518" t="s">
        <v>81</v>
      </c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47"/>
    </row>
    <row r="49" spans="2:23" x14ac:dyDescent="0.25">
      <c r="B49" s="518" t="s">
        <v>82</v>
      </c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47"/>
    </row>
    <row r="50" spans="2:23" ht="30" customHeight="1" x14ac:dyDescent="0.25">
      <c r="B50" s="503"/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 t="s">
        <v>33</v>
      </c>
      <c r="N50" s="504"/>
      <c r="O50" s="504"/>
      <c r="P50" s="504"/>
      <c r="Q50" s="504"/>
      <c r="R50" s="504" t="s">
        <v>83</v>
      </c>
      <c r="S50" s="504"/>
      <c r="T50" s="505"/>
    </row>
    <row r="51" spans="2:23" s="314" customFormat="1" x14ac:dyDescent="0.25">
      <c r="B51" s="244">
        <v>28</v>
      </c>
      <c r="C51" s="520" t="s">
        <v>84</v>
      </c>
      <c r="D51" s="520"/>
      <c r="E51" s="520"/>
      <c r="F51" s="520"/>
      <c r="G51" s="520"/>
      <c r="H51" s="520"/>
      <c r="I51" s="520"/>
      <c r="J51" s="520"/>
      <c r="K51" s="520"/>
      <c r="L51" s="520"/>
      <c r="M51" s="245">
        <v>519</v>
      </c>
      <c r="N51" s="521">
        <f>+IFERROR(VLOOKUP(U51,Resumen!$A$7:$I$15,3,0),"0")</f>
        <v>5</v>
      </c>
      <c r="O51" s="521"/>
      <c r="P51" s="521"/>
      <c r="Q51" s="521"/>
      <c r="R51" s="245">
        <v>520</v>
      </c>
      <c r="S51" s="246">
        <f>+IFERROR(VLOOKUP(U51,Resumen!$A$7:$K$15,6,0),"0")</f>
        <v>173543</v>
      </c>
      <c r="T51" s="279" t="s">
        <v>44</v>
      </c>
      <c r="U51" s="314">
        <v>33</v>
      </c>
      <c r="V51" s="358"/>
      <c r="W51" s="358"/>
    </row>
    <row r="52" spans="2:23" x14ac:dyDescent="0.25">
      <c r="B52" s="49">
        <v>29</v>
      </c>
      <c r="C52" s="471" t="s">
        <v>85</v>
      </c>
      <c r="D52" s="471"/>
      <c r="E52" s="471"/>
      <c r="F52" s="471"/>
      <c r="G52" s="471"/>
      <c r="H52" s="471"/>
      <c r="I52" s="471"/>
      <c r="J52" s="471"/>
      <c r="K52" s="471"/>
      <c r="L52" s="471"/>
      <c r="M52" s="125">
        <v>761</v>
      </c>
      <c r="N52" s="506"/>
      <c r="O52" s="506"/>
      <c r="P52" s="506"/>
      <c r="Q52" s="506"/>
      <c r="R52" s="125">
        <v>762</v>
      </c>
      <c r="S52" s="132"/>
      <c r="T52" s="48" t="s">
        <v>44</v>
      </c>
    </row>
    <row r="53" spans="2:23" x14ac:dyDescent="0.25">
      <c r="B53" s="49">
        <v>30</v>
      </c>
      <c r="C53" s="471" t="s">
        <v>86</v>
      </c>
      <c r="D53" s="471"/>
      <c r="E53" s="471"/>
      <c r="F53" s="471"/>
      <c r="G53" s="471"/>
      <c r="H53" s="471"/>
      <c r="I53" s="471"/>
      <c r="J53" s="471"/>
      <c r="K53" s="471"/>
      <c r="L53" s="471"/>
      <c r="M53" s="125">
        <v>765</v>
      </c>
      <c r="N53" s="506"/>
      <c r="O53" s="506"/>
      <c r="P53" s="506"/>
      <c r="Q53" s="506"/>
      <c r="R53" s="125">
        <v>766</v>
      </c>
      <c r="S53" s="132"/>
      <c r="T53" s="48" t="s">
        <v>44</v>
      </c>
    </row>
    <row r="54" spans="2:23" x14ac:dyDescent="0.25">
      <c r="B54" s="49">
        <v>31</v>
      </c>
      <c r="C54" s="471" t="s">
        <v>87</v>
      </c>
      <c r="D54" s="471"/>
      <c r="E54" s="471"/>
      <c r="F54" s="471"/>
      <c r="G54" s="471"/>
      <c r="H54" s="471"/>
      <c r="I54" s="471"/>
      <c r="J54" s="471"/>
      <c r="K54" s="471"/>
      <c r="L54" s="471"/>
      <c r="M54" s="125">
        <v>524</v>
      </c>
      <c r="N54" s="541">
        <f>+IFERROR(VLOOKUP(V54,Resumen!$B$7:$K$15,2,0),"0")</f>
        <v>1</v>
      </c>
      <c r="O54" s="541"/>
      <c r="P54" s="541"/>
      <c r="Q54" s="541"/>
      <c r="R54" s="125">
        <v>525</v>
      </c>
      <c r="S54" s="132">
        <f>+IFERROR(VLOOKUP(V54,Resumen!$B$7:$K$15,9,0),"0")</f>
        <v>0</v>
      </c>
      <c r="T54" s="48" t="s">
        <v>44</v>
      </c>
      <c r="U54" s="1">
        <v>33</v>
      </c>
      <c r="V54" s="38" t="s">
        <v>88</v>
      </c>
      <c r="W54" s="38">
        <f>+IFERROR(VLOOKUP(V54,Resumen!$B$7:$K$15,9,0),"0")</f>
        <v>0</v>
      </c>
    </row>
    <row r="55" spans="2:23" s="314" customFormat="1" x14ac:dyDescent="0.25">
      <c r="B55" s="244">
        <v>32</v>
      </c>
      <c r="C55" s="520" t="s">
        <v>89</v>
      </c>
      <c r="D55" s="520"/>
      <c r="E55" s="520"/>
      <c r="F55" s="520"/>
      <c r="G55" s="520"/>
      <c r="H55" s="520"/>
      <c r="I55" s="520"/>
      <c r="J55" s="520"/>
      <c r="K55" s="520"/>
      <c r="L55" s="520"/>
      <c r="M55" s="245">
        <v>527</v>
      </c>
      <c r="N55" s="521">
        <f>+IFERROR(VLOOKUP(U55,Resumen!$A$7:$I$15,3,0),"0")</f>
        <v>1</v>
      </c>
      <c r="O55" s="521"/>
      <c r="P55" s="521"/>
      <c r="Q55" s="521"/>
      <c r="R55" s="245">
        <v>528</v>
      </c>
      <c r="S55" s="246">
        <f>+IFERROR(VLOOKUP(U55,Resumen!$A$7:$K$15,6,0),"0")*-1</f>
        <v>88452</v>
      </c>
      <c r="T55" s="279" t="s">
        <v>51</v>
      </c>
      <c r="U55" s="314">
        <v>61</v>
      </c>
      <c r="V55" s="403">
        <f>+IFERROR(VLOOKUP(U55,Resumen!$A$7:$K$15,3,0),"0")</f>
        <v>1</v>
      </c>
      <c r="W55" s="358">
        <f>+IFERROR(VLOOKUP(U55,Resumen!$A$7:$K$15,10,0),"0")</f>
        <v>0</v>
      </c>
    </row>
    <row r="56" spans="2:23" s="314" customFormat="1" x14ac:dyDescent="0.25">
      <c r="B56" s="244">
        <v>33</v>
      </c>
      <c r="C56" s="520" t="s">
        <v>90</v>
      </c>
      <c r="D56" s="520"/>
      <c r="E56" s="520"/>
      <c r="F56" s="520"/>
      <c r="G56" s="520"/>
      <c r="H56" s="520"/>
      <c r="I56" s="520"/>
      <c r="J56" s="520"/>
      <c r="K56" s="520"/>
      <c r="L56" s="520"/>
      <c r="M56" s="245">
        <v>531</v>
      </c>
      <c r="N56" s="521">
        <f>+IFERROR(VLOOKUP(U56,Resumen!$A$7:$I$15,3,0),"0")</f>
        <v>1</v>
      </c>
      <c r="O56" s="521"/>
      <c r="P56" s="521"/>
      <c r="Q56" s="521"/>
      <c r="R56" s="245">
        <v>532</v>
      </c>
      <c r="S56" s="246">
        <f>+IFERROR(VLOOKUP(U56,Resumen!$A$7:$K$15,6,0),"0")</f>
        <v>96</v>
      </c>
      <c r="T56" s="279" t="s">
        <v>44</v>
      </c>
      <c r="U56" s="314">
        <v>56</v>
      </c>
      <c r="V56" s="358"/>
      <c r="W56" s="358"/>
    </row>
    <row r="57" spans="2:23" x14ac:dyDescent="0.25">
      <c r="B57" s="518" t="s">
        <v>91</v>
      </c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47"/>
    </row>
    <row r="58" spans="2:23" s="314" customFormat="1" x14ac:dyDescent="0.25">
      <c r="B58" s="244">
        <v>34</v>
      </c>
      <c r="C58" s="520" t="s">
        <v>92</v>
      </c>
      <c r="D58" s="520"/>
      <c r="E58" s="520"/>
      <c r="F58" s="520"/>
      <c r="G58" s="520"/>
      <c r="H58" s="520"/>
      <c r="I58" s="520"/>
      <c r="J58" s="520"/>
      <c r="K58" s="520"/>
      <c r="L58" s="520"/>
      <c r="M58" s="245">
        <v>534</v>
      </c>
      <c r="N58" s="521">
        <f>+IFERROR(VLOOKUP(U58,Resumen!$A$7:$I$15,3,0),"0")</f>
        <v>8</v>
      </c>
      <c r="O58" s="521"/>
      <c r="P58" s="521"/>
      <c r="Q58" s="521"/>
      <c r="R58" s="245">
        <v>535</v>
      </c>
      <c r="S58" s="246">
        <f>+IFERROR(VLOOKUP(U58,Resumen!$A$7:$K$15,6,0),"0")</f>
        <v>439283</v>
      </c>
      <c r="T58" s="279" t="s">
        <v>44</v>
      </c>
      <c r="U58" s="314">
        <v>914</v>
      </c>
      <c r="V58" s="314" t="s">
        <v>959</v>
      </c>
      <c r="W58" s="358"/>
    </row>
    <row r="59" spans="2:23" s="314" customFormat="1" x14ac:dyDescent="0.25">
      <c r="B59" s="244">
        <v>35</v>
      </c>
      <c r="C59" s="520" t="s">
        <v>93</v>
      </c>
      <c r="D59" s="520"/>
      <c r="E59" s="520"/>
      <c r="F59" s="520"/>
      <c r="G59" s="520"/>
      <c r="H59" s="520"/>
      <c r="I59" s="520"/>
      <c r="J59" s="520"/>
      <c r="K59" s="520"/>
      <c r="L59" s="520"/>
      <c r="M59" s="245">
        <v>536</v>
      </c>
      <c r="N59" s="521">
        <f>+IFERROR(VLOOKUP(V58,Resumen!B7:M15,2,0),"0")</f>
        <v>1</v>
      </c>
      <c r="O59" s="521"/>
      <c r="P59" s="521"/>
      <c r="Q59" s="521"/>
      <c r="R59" s="245">
        <v>553</v>
      </c>
      <c r="S59" s="246">
        <f>+IFERROR(VLOOKUP(V58,Resumen!B7:M15,5,0),"0")</f>
        <v>699567</v>
      </c>
      <c r="T59" s="279" t="s">
        <v>44</v>
      </c>
      <c r="V59" s="358"/>
      <c r="W59" s="358"/>
    </row>
    <row r="60" spans="2:23" x14ac:dyDescent="0.25">
      <c r="B60" s="49">
        <v>36</v>
      </c>
      <c r="C60" s="471" t="s">
        <v>94</v>
      </c>
      <c r="D60" s="471"/>
      <c r="E60" s="471"/>
      <c r="F60" s="471"/>
      <c r="G60" s="471"/>
      <c r="H60" s="471"/>
      <c r="I60" s="471"/>
      <c r="J60" s="471"/>
      <c r="K60" s="471"/>
      <c r="L60" s="471"/>
      <c r="M60" s="471"/>
      <c r="N60" s="471"/>
      <c r="O60" s="471"/>
      <c r="P60" s="471"/>
      <c r="Q60" s="471"/>
      <c r="R60" s="125">
        <v>504</v>
      </c>
      <c r="S60" s="133">
        <f>+IFERROR(VLOOKUP($D$5,'RCF-PPM'!$E$9:$I$20,4,0),"0")</f>
        <v>0</v>
      </c>
      <c r="T60" s="48" t="s">
        <v>44</v>
      </c>
    </row>
    <row r="61" spans="2:23" x14ac:dyDescent="0.25">
      <c r="B61" s="49">
        <v>37</v>
      </c>
      <c r="C61" s="471" t="s">
        <v>95</v>
      </c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125">
        <v>593</v>
      </c>
      <c r="S61" s="132"/>
      <c r="T61" s="48" t="s">
        <v>51</v>
      </c>
    </row>
    <row r="62" spans="2:23" x14ac:dyDescent="0.25">
      <c r="B62" s="49">
        <v>38</v>
      </c>
      <c r="C62" s="471" t="s">
        <v>96</v>
      </c>
      <c r="D62" s="471"/>
      <c r="E62" s="471"/>
      <c r="F62" s="471"/>
      <c r="G62" s="471"/>
      <c r="H62" s="471"/>
      <c r="I62" s="471"/>
      <c r="J62" s="471"/>
      <c r="K62" s="471"/>
      <c r="L62" s="471"/>
      <c r="M62" s="471"/>
      <c r="N62" s="471"/>
      <c r="O62" s="471"/>
      <c r="P62" s="471"/>
      <c r="Q62" s="471"/>
      <c r="R62" s="125">
        <v>594</v>
      </c>
      <c r="S62" s="132"/>
      <c r="T62" s="48" t="s">
        <v>51</v>
      </c>
    </row>
    <row r="63" spans="2:23" x14ac:dyDescent="0.25">
      <c r="B63" s="49">
        <v>39</v>
      </c>
      <c r="C63" s="471" t="s">
        <v>97</v>
      </c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1"/>
      <c r="R63" s="125">
        <v>592</v>
      </c>
      <c r="S63" s="132"/>
      <c r="T63" s="48" t="s">
        <v>51</v>
      </c>
    </row>
    <row r="64" spans="2:23" x14ac:dyDescent="0.25">
      <c r="B64" s="49">
        <v>40</v>
      </c>
      <c r="C64" s="471" t="s">
        <v>98</v>
      </c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125">
        <v>539</v>
      </c>
      <c r="S64" s="132"/>
      <c r="T64" s="48" t="s">
        <v>51</v>
      </c>
    </row>
    <row r="65" spans="2:22" x14ac:dyDescent="0.25">
      <c r="B65" s="49">
        <v>41</v>
      </c>
      <c r="C65" s="471" t="s">
        <v>99</v>
      </c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1"/>
      <c r="R65" s="125">
        <v>718</v>
      </c>
      <c r="S65" s="132"/>
      <c r="T65" s="48" t="s">
        <v>51</v>
      </c>
    </row>
    <row r="66" spans="2:22" x14ac:dyDescent="0.25">
      <c r="B66" s="49">
        <v>42</v>
      </c>
      <c r="C66" s="471" t="s">
        <v>100</v>
      </c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71"/>
      <c r="O66" s="471"/>
      <c r="P66" s="471"/>
      <c r="Q66" s="471"/>
      <c r="R66" s="125">
        <v>790</v>
      </c>
      <c r="S66" s="132"/>
      <c r="T66" s="48" t="s">
        <v>51</v>
      </c>
    </row>
    <row r="67" spans="2:22" x14ac:dyDescent="0.25">
      <c r="B67" s="49">
        <v>43</v>
      </c>
      <c r="C67" s="471" t="s">
        <v>101</v>
      </c>
      <c r="D67" s="471"/>
      <c r="E67" s="471"/>
      <c r="F67" s="471"/>
      <c r="G67" s="471"/>
      <c r="H67" s="471"/>
      <c r="I67" s="471"/>
      <c r="J67" s="471"/>
      <c r="K67" s="471"/>
      <c r="L67" s="471"/>
      <c r="M67" s="471"/>
      <c r="N67" s="471"/>
      <c r="O67" s="471"/>
      <c r="P67" s="471"/>
      <c r="Q67" s="471"/>
      <c r="R67" s="125">
        <v>164</v>
      </c>
      <c r="S67" s="132"/>
      <c r="T67" s="48" t="s">
        <v>44</v>
      </c>
    </row>
    <row r="68" spans="2:22" x14ac:dyDescent="0.25">
      <c r="B68" s="518" t="s">
        <v>102</v>
      </c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47"/>
    </row>
    <row r="69" spans="2:22" ht="32.25" customHeight="1" x14ac:dyDescent="0.25">
      <c r="B69" s="503"/>
      <c r="C69" s="504"/>
      <c r="D69" s="504"/>
      <c r="E69" s="504"/>
      <c r="F69" s="504"/>
      <c r="G69" s="504"/>
      <c r="H69" s="504"/>
      <c r="I69" s="504"/>
      <c r="J69" s="504" t="s">
        <v>103</v>
      </c>
      <c r="K69" s="504"/>
      <c r="L69" s="504"/>
      <c r="M69" s="504"/>
      <c r="N69" s="504" t="s">
        <v>104</v>
      </c>
      <c r="O69" s="504"/>
      <c r="P69" s="504"/>
      <c r="Q69" s="504"/>
      <c r="R69" s="504"/>
      <c r="S69" s="504"/>
      <c r="T69" s="505"/>
    </row>
    <row r="70" spans="2:22" x14ac:dyDescent="0.25">
      <c r="B70" s="526">
        <v>44</v>
      </c>
      <c r="C70" s="471" t="s">
        <v>105</v>
      </c>
      <c r="D70" s="471"/>
      <c r="E70" s="471"/>
      <c r="F70" s="471"/>
      <c r="G70" s="471"/>
      <c r="H70" s="471"/>
      <c r="I70" s="471"/>
      <c r="J70" s="516">
        <v>730</v>
      </c>
      <c r="K70" s="506"/>
      <c r="L70" s="506"/>
      <c r="M70" s="506"/>
      <c r="N70" s="124" t="s">
        <v>61</v>
      </c>
      <c r="O70" s="125">
        <v>742</v>
      </c>
      <c r="P70" s="506"/>
      <c r="Q70" s="506"/>
      <c r="R70" s="516">
        <v>127</v>
      </c>
      <c r="S70" s="540"/>
      <c r="T70" s="525" t="s">
        <v>44</v>
      </c>
    </row>
    <row r="71" spans="2:22" x14ac:dyDescent="0.25">
      <c r="B71" s="526"/>
      <c r="C71" s="471"/>
      <c r="D71" s="471"/>
      <c r="E71" s="471"/>
      <c r="F71" s="471"/>
      <c r="G71" s="471"/>
      <c r="H71" s="471"/>
      <c r="I71" s="471"/>
      <c r="J71" s="516"/>
      <c r="K71" s="506"/>
      <c r="L71" s="506"/>
      <c r="M71" s="506"/>
      <c r="N71" s="124" t="s">
        <v>62</v>
      </c>
      <c r="O71" s="125">
        <v>743</v>
      </c>
      <c r="P71" s="506"/>
      <c r="Q71" s="506"/>
      <c r="R71" s="516"/>
      <c r="S71" s="540"/>
      <c r="T71" s="525"/>
    </row>
    <row r="72" spans="2:22" x14ac:dyDescent="0.25">
      <c r="B72" s="526">
        <v>45</v>
      </c>
      <c r="C72" s="471" t="s">
        <v>106</v>
      </c>
      <c r="D72" s="471"/>
      <c r="E72" s="471"/>
      <c r="F72" s="471"/>
      <c r="G72" s="471"/>
      <c r="H72" s="471"/>
      <c r="I72" s="471"/>
      <c r="J72" s="516">
        <v>729</v>
      </c>
      <c r="K72" s="506"/>
      <c r="L72" s="506"/>
      <c r="M72" s="506"/>
      <c r="N72" s="124" t="s">
        <v>61</v>
      </c>
      <c r="O72" s="125">
        <v>744</v>
      </c>
      <c r="P72" s="506"/>
      <c r="Q72" s="506"/>
      <c r="R72" s="516">
        <v>544</v>
      </c>
      <c r="S72" s="540"/>
      <c r="T72" s="525" t="s">
        <v>44</v>
      </c>
    </row>
    <row r="73" spans="2:22" x14ac:dyDescent="0.25">
      <c r="B73" s="526"/>
      <c r="C73" s="471"/>
      <c r="D73" s="471"/>
      <c r="E73" s="471"/>
      <c r="F73" s="471"/>
      <c r="G73" s="471"/>
      <c r="H73" s="471"/>
      <c r="I73" s="471"/>
      <c r="J73" s="516"/>
      <c r="K73" s="506"/>
      <c r="L73" s="506"/>
      <c r="M73" s="506"/>
      <c r="N73" s="124" t="s">
        <v>62</v>
      </c>
      <c r="O73" s="125">
        <v>745</v>
      </c>
      <c r="P73" s="506"/>
      <c r="Q73" s="506"/>
      <c r="R73" s="516"/>
      <c r="S73" s="540"/>
      <c r="T73" s="525"/>
    </row>
    <row r="74" spans="2:22" x14ac:dyDescent="0.25">
      <c r="B74" s="49">
        <v>46</v>
      </c>
      <c r="C74" s="471" t="s">
        <v>107</v>
      </c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125">
        <v>523</v>
      </c>
      <c r="S74" s="127"/>
      <c r="T74" s="48" t="s">
        <v>44</v>
      </c>
    </row>
    <row r="75" spans="2:22" x14ac:dyDescent="0.25">
      <c r="B75" s="49">
        <v>47</v>
      </c>
      <c r="C75" s="471" t="s">
        <v>108</v>
      </c>
      <c r="D75" s="471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125">
        <v>712</v>
      </c>
      <c r="S75" s="127"/>
      <c r="T75" s="48" t="s">
        <v>44</v>
      </c>
    </row>
    <row r="76" spans="2:22" x14ac:dyDescent="0.25">
      <c r="B76" s="49">
        <v>48</v>
      </c>
      <c r="C76" s="471" t="s">
        <v>109</v>
      </c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125">
        <v>757</v>
      </c>
      <c r="S76" s="127"/>
      <c r="T76" s="48" t="s">
        <v>44</v>
      </c>
    </row>
    <row r="77" spans="2:22" ht="15.75" thickBot="1" x14ac:dyDescent="0.3">
      <c r="B77" s="10">
        <v>49</v>
      </c>
      <c r="C77" s="470" t="s">
        <v>110</v>
      </c>
      <c r="D77" s="470"/>
      <c r="E77" s="470"/>
      <c r="F77" s="470"/>
      <c r="G77" s="470"/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52">
        <v>537</v>
      </c>
      <c r="S77" s="12">
        <f>+S51+S52+S53+S54+S56-S55+S58+S59+S60+S67-S61-S62-S63-S64-S65+S70+S72+S74+S75+S76-S66</f>
        <v>1224037</v>
      </c>
      <c r="T77" s="11" t="s">
        <v>65</v>
      </c>
      <c r="U77" s="354">
        <f>+S77-Resumen!F16</f>
        <v>0</v>
      </c>
      <c r="V77" s="354">
        <f>+S77-N42</f>
        <v>0</v>
      </c>
    </row>
    <row r="78" spans="2:22" ht="15.75" thickBot="1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2" ht="30" customHeight="1" x14ac:dyDescent="0.25">
      <c r="B79" s="484" t="s">
        <v>111</v>
      </c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535" t="s">
        <v>112</v>
      </c>
      <c r="S79" s="535"/>
      <c r="T79" s="536"/>
    </row>
    <row r="80" spans="2:22" ht="30" customHeight="1" thickBot="1" x14ac:dyDescent="0.3">
      <c r="B80" s="356">
        <v>50</v>
      </c>
      <c r="C80" s="537" t="s">
        <v>113</v>
      </c>
      <c r="D80" s="537"/>
      <c r="E80" s="537"/>
      <c r="F80" s="280">
        <v>77</v>
      </c>
      <c r="G80" s="538">
        <f>IF(S37&gt;S77,0,S77-S37)</f>
        <v>469846</v>
      </c>
      <c r="H80" s="538"/>
      <c r="I80" s="52">
        <v>756</v>
      </c>
      <c r="J80" s="470" t="s">
        <v>114</v>
      </c>
      <c r="K80" s="470"/>
      <c r="L80" s="13"/>
      <c r="M80" s="52">
        <v>755</v>
      </c>
      <c r="N80" s="539">
        <f>IF(L80="SI",S37-S77,0)</f>
        <v>0</v>
      </c>
      <c r="O80" s="539"/>
      <c r="P80" s="470" t="s">
        <v>115</v>
      </c>
      <c r="Q80" s="470"/>
      <c r="R80" s="280">
        <v>89</v>
      </c>
      <c r="S80" s="381">
        <f>IF(L80="SI",0,IF(S37&gt;S77,S37-S77,0))</f>
        <v>0</v>
      </c>
      <c r="T80" s="282" t="s">
        <v>44</v>
      </c>
    </row>
    <row r="81" spans="2:20" x14ac:dyDescent="0.25">
      <c r="B81" s="484" t="s">
        <v>116</v>
      </c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  <c r="N81" s="485"/>
      <c r="O81" s="485"/>
      <c r="P81" s="485"/>
      <c r="Q81" s="485"/>
      <c r="R81" s="485" t="s">
        <v>112</v>
      </c>
      <c r="S81" s="485"/>
      <c r="T81" s="498"/>
    </row>
    <row r="82" spans="2:20" ht="39" customHeight="1" thickBot="1" x14ac:dyDescent="0.3">
      <c r="B82" s="49">
        <v>51</v>
      </c>
      <c r="C82" s="471" t="s">
        <v>117</v>
      </c>
      <c r="D82" s="471"/>
      <c r="E82" s="471"/>
      <c r="F82" s="125">
        <v>772</v>
      </c>
      <c r="G82" s="527"/>
      <c r="H82" s="527"/>
      <c r="I82" s="125">
        <v>773</v>
      </c>
      <c r="J82" s="471" t="s">
        <v>118</v>
      </c>
      <c r="K82" s="471"/>
      <c r="L82" s="136"/>
      <c r="M82" s="125">
        <v>774</v>
      </c>
      <c r="N82" s="527"/>
      <c r="O82" s="527"/>
      <c r="P82" s="471" t="s">
        <v>119</v>
      </c>
      <c r="Q82" s="471"/>
      <c r="R82" s="125">
        <v>775</v>
      </c>
      <c r="S82" s="135"/>
      <c r="T82" s="48" t="s">
        <v>44</v>
      </c>
    </row>
    <row r="83" spans="2:20" ht="27" customHeight="1" x14ac:dyDescent="0.25">
      <c r="B83" s="484" t="s">
        <v>116</v>
      </c>
      <c r="C83" s="485"/>
      <c r="D83" s="485"/>
      <c r="E83" s="485"/>
      <c r="F83" s="485"/>
      <c r="G83" s="485"/>
      <c r="H83" s="485"/>
      <c r="I83" s="485"/>
      <c r="J83" s="485"/>
      <c r="K83" s="485"/>
      <c r="L83" s="485"/>
      <c r="M83" s="485"/>
      <c r="N83" s="485"/>
      <c r="O83" s="485"/>
      <c r="P83" s="485"/>
      <c r="Q83" s="485"/>
      <c r="R83" s="485" t="s">
        <v>112</v>
      </c>
      <c r="S83" s="485"/>
      <c r="T83" s="498"/>
    </row>
    <row r="84" spans="2:20" ht="51" customHeight="1" x14ac:dyDescent="0.25">
      <c r="B84" s="49">
        <v>52</v>
      </c>
      <c r="C84" s="471" t="s">
        <v>120</v>
      </c>
      <c r="D84" s="471"/>
      <c r="E84" s="471"/>
      <c r="F84" s="125">
        <v>777</v>
      </c>
      <c r="G84" s="527"/>
      <c r="H84" s="527"/>
      <c r="I84" s="125">
        <v>778</v>
      </c>
      <c r="J84" s="471" t="s">
        <v>121</v>
      </c>
      <c r="K84" s="471"/>
      <c r="L84" s="136"/>
      <c r="M84" s="125">
        <v>779</v>
      </c>
      <c r="N84" s="527"/>
      <c r="O84" s="527"/>
      <c r="P84" s="471" t="s">
        <v>119</v>
      </c>
      <c r="Q84" s="471"/>
      <c r="R84" s="125">
        <v>780</v>
      </c>
      <c r="S84" s="137"/>
      <c r="T84" s="48" t="s">
        <v>44</v>
      </c>
    </row>
    <row r="85" spans="2:20" x14ac:dyDescent="0.25">
      <c r="B85" s="49">
        <v>53</v>
      </c>
      <c r="C85" s="471" t="s">
        <v>122</v>
      </c>
      <c r="D85" s="471"/>
      <c r="E85" s="471"/>
      <c r="F85" s="125">
        <v>782</v>
      </c>
      <c r="G85" s="527"/>
      <c r="H85" s="527"/>
      <c r="I85" s="528" t="s">
        <v>123</v>
      </c>
      <c r="J85" s="529"/>
      <c r="K85" s="529"/>
      <c r="L85" s="529"/>
      <c r="M85" s="529"/>
      <c r="N85" s="529"/>
      <c r="O85" s="529"/>
      <c r="P85" s="529"/>
      <c r="Q85" s="530"/>
      <c r="R85" s="125">
        <v>783</v>
      </c>
      <c r="S85" s="137"/>
      <c r="T85" s="48" t="s">
        <v>44</v>
      </c>
    </row>
    <row r="86" spans="2:20" x14ac:dyDescent="0.25">
      <c r="B86" s="49">
        <v>54</v>
      </c>
      <c r="C86" s="471" t="s">
        <v>124</v>
      </c>
      <c r="D86" s="471"/>
      <c r="E86" s="471"/>
      <c r="F86" s="125">
        <v>784</v>
      </c>
      <c r="G86" s="527"/>
      <c r="H86" s="527"/>
      <c r="I86" s="528" t="s">
        <v>123</v>
      </c>
      <c r="J86" s="529"/>
      <c r="K86" s="529"/>
      <c r="L86" s="529"/>
      <c r="M86" s="529"/>
      <c r="N86" s="529"/>
      <c r="O86" s="529"/>
      <c r="P86" s="529"/>
      <c r="Q86" s="530"/>
      <c r="R86" s="125">
        <v>785</v>
      </c>
      <c r="S86" s="137"/>
      <c r="T86" s="48" t="s">
        <v>44</v>
      </c>
    </row>
    <row r="87" spans="2:20" x14ac:dyDescent="0.25">
      <c r="B87" s="49">
        <v>55</v>
      </c>
      <c r="C87" s="471" t="s">
        <v>125</v>
      </c>
      <c r="D87" s="471"/>
      <c r="E87" s="471"/>
      <c r="F87" s="125">
        <v>786</v>
      </c>
      <c r="G87" s="527"/>
      <c r="H87" s="527"/>
      <c r="I87" s="528" t="s">
        <v>123</v>
      </c>
      <c r="J87" s="529"/>
      <c r="K87" s="529"/>
      <c r="L87" s="529"/>
      <c r="M87" s="529"/>
      <c r="N87" s="529"/>
      <c r="O87" s="529"/>
      <c r="P87" s="529"/>
      <c r="Q87" s="530"/>
      <c r="R87" s="125">
        <v>787</v>
      </c>
      <c r="S87" s="137"/>
      <c r="T87" s="48" t="s">
        <v>44</v>
      </c>
    </row>
    <row r="88" spans="2:20" ht="15.75" thickBot="1" x14ac:dyDescent="0.3">
      <c r="B88" s="14">
        <v>56</v>
      </c>
      <c r="C88" s="472" t="s">
        <v>126</v>
      </c>
      <c r="D88" s="472"/>
      <c r="E88" s="472"/>
      <c r="F88" s="15">
        <v>788</v>
      </c>
      <c r="G88" s="531"/>
      <c r="H88" s="531"/>
      <c r="I88" s="532" t="s">
        <v>123</v>
      </c>
      <c r="J88" s="533"/>
      <c r="K88" s="533"/>
      <c r="L88" s="533"/>
      <c r="M88" s="533"/>
      <c r="N88" s="533"/>
      <c r="O88" s="533"/>
      <c r="P88" s="533"/>
      <c r="Q88" s="534"/>
      <c r="R88" s="15">
        <v>789</v>
      </c>
      <c r="S88" s="16"/>
      <c r="T88" s="17" t="s">
        <v>44</v>
      </c>
    </row>
    <row r="89" spans="2:20" ht="15.75" thickBot="1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0" x14ac:dyDescent="0.25">
      <c r="B90" s="18">
        <v>57</v>
      </c>
      <c r="C90" s="473" t="s">
        <v>127</v>
      </c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8">
        <v>760</v>
      </c>
      <c r="S90" s="19"/>
      <c r="T90" s="20" t="s">
        <v>44</v>
      </c>
    </row>
    <row r="91" spans="2:20" ht="15.75" thickBot="1" x14ac:dyDescent="0.3">
      <c r="B91" s="14">
        <v>58</v>
      </c>
      <c r="C91" s="472" t="s">
        <v>128</v>
      </c>
      <c r="D91" s="472"/>
      <c r="E91" s="472"/>
      <c r="F91" s="472"/>
      <c r="G91" s="472"/>
      <c r="H91" s="472"/>
      <c r="I91" s="472"/>
      <c r="J91" s="472"/>
      <c r="K91" s="472"/>
      <c r="L91" s="472"/>
      <c r="M91" s="472"/>
      <c r="N91" s="472"/>
      <c r="O91" s="472"/>
      <c r="P91" s="472"/>
      <c r="Q91" s="472"/>
      <c r="R91" s="15">
        <v>767</v>
      </c>
      <c r="S91" s="21"/>
      <c r="T91" s="17" t="s">
        <v>44</v>
      </c>
    </row>
    <row r="92" spans="2:20" ht="15.75" thickBot="1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2:20" x14ac:dyDescent="0.25">
      <c r="B93" s="484" t="s">
        <v>129</v>
      </c>
      <c r="C93" s="485"/>
      <c r="D93" s="485"/>
      <c r="E93" s="485"/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P93" s="485"/>
      <c r="Q93" s="485"/>
      <c r="R93" s="485"/>
      <c r="S93" s="485"/>
      <c r="T93" s="46"/>
    </row>
    <row r="94" spans="2:20" x14ac:dyDescent="0.25">
      <c r="B94" s="518" t="s">
        <v>130</v>
      </c>
      <c r="C94" s="519"/>
      <c r="D94" s="519"/>
      <c r="E94" s="519"/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47"/>
    </row>
    <row r="95" spans="2:20" x14ac:dyDescent="0.25">
      <c r="B95" s="49">
        <v>59</v>
      </c>
      <c r="C95" s="471" t="s">
        <v>131</v>
      </c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125">
        <v>50</v>
      </c>
      <c r="S95" s="127"/>
      <c r="T95" s="48" t="s">
        <v>44</v>
      </c>
    </row>
    <row r="96" spans="2:20" x14ac:dyDescent="0.25">
      <c r="B96" s="526">
        <v>60</v>
      </c>
      <c r="C96" s="471" t="s">
        <v>132</v>
      </c>
      <c r="D96" s="471"/>
      <c r="E96" s="471"/>
      <c r="F96" s="471"/>
      <c r="G96" s="471" t="s">
        <v>133</v>
      </c>
      <c r="H96" s="471"/>
      <c r="I96" s="516">
        <v>751</v>
      </c>
      <c r="J96" s="471" t="s">
        <v>134</v>
      </c>
      <c r="K96" s="471"/>
      <c r="L96" s="471"/>
      <c r="M96" s="516">
        <v>735</v>
      </c>
      <c r="N96" s="471" t="s">
        <v>135</v>
      </c>
      <c r="O96" s="471"/>
      <c r="P96" s="471" t="s">
        <v>136</v>
      </c>
      <c r="Q96" s="471"/>
      <c r="R96" s="516">
        <v>48</v>
      </c>
      <c r="S96" s="524"/>
      <c r="T96" s="525" t="s">
        <v>44</v>
      </c>
    </row>
    <row r="97" spans="2:23" x14ac:dyDescent="0.25">
      <c r="B97" s="526"/>
      <c r="C97" s="471"/>
      <c r="D97" s="471"/>
      <c r="E97" s="471"/>
      <c r="F97" s="471"/>
      <c r="G97" s="471"/>
      <c r="H97" s="471"/>
      <c r="I97" s="516"/>
      <c r="J97" s="506"/>
      <c r="K97" s="506"/>
      <c r="L97" s="506"/>
      <c r="M97" s="516"/>
      <c r="N97" s="506"/>
      <c r="O97" s="506"/>
      <c r="P97" s="471"/>
      <c r="Q97" s="471"/>
      <c r="R97" s="516"/>
      <c r="S97" s="524"/>
      <c r="T97" s="525"/>
    </row>
    <row r="98" spans="2:23" s="314" customFormat="1" x14ac:dyDescent="0.25">
      <c r="B98" s="244">
        <v>61</v>
      </c>
      <c r="C98" s="520" t="s">
        <v>498</v>
      </c>
      <c r="D98" s="520"/>
      <c r="E98" s="520"/>
      <c r="F98" s="520"/>
      <c r="G98" s="520"/>
      <c r="H98" s="520"/>
      <c r="I98" s="520"/>
      <c r="J98" s="520"/>
      <c r="K98" s="520"/>
      <c r="L98" s="520"/>
      <c r="M98" s="520"/>
      <c r="N98" s="520"/>
      <c r="O98" s="520"/>
      <c r="P98" s="520"/>
      <c r="Q98" s="520"/>
      <c r="R98" s="245">
        <v>151</v>
      </c>
      <c r="S98" s="246">
        <f>+IFERROR(VLOOKUP(D5,Resumen!$A$37:$H$48,6,0),"0")</f>
        <v>123391</v>
      </c>
      <c r="T98" s="279" t="s">
        <v>44</v>
      </c>
      <c r="V98" s="358"/>
      <c r="W98" s="358"/>
    </row>
    <row r="99" spans="2:23" x14ac:dyDescent="0.25">
      <c r="B99" s="49">
        <v>62</v>
      </c>
      <c r="C99" s="471" t="s">
        <v>137</v>
      </c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125">
        <v>153</v>
      </c>
      <c r="S99" s="132"/>
      <c r="T99" s="48" t="s">
        <v>44</v>
      </c>
    </row>
    <row r="100" spans="2:23" ht="15" customHeight="1" x14ac:dyDescent="0.25">
      <c r="B100" s="49"/>
      <c r="C100" s="545" t="s">
        <v>475</v>
      </c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7"/>
      <c r="R100" s="188">
        <v>49</v>
      </c>
      <c r="S100" s="189"/>
      <c r="T100" s="48"/>
    </row>
    <row r="101" spans="2:23" s="314" customFormat="1" x14ac:dyDescent="0.25">
      <c r="B101" s="244"/>
      <c r="C101" s="548" t="s">
        <v>476</v>
      </c>
      <c r="D101" s="549"/>
      <c r="E101" s="549"/>
      <c r="F101" s="549"/>
      <c r="G101" s="549"/>
      <c r="H101" s="549"/>
      <c r="I101" s="549"/>
      <c r="J101" s="549"/>
      <c r="K101" s="549"/>
      <c r="L101" s="549"/>
      <c r="M101" s="549"/>
      <c r="N101" s="549"/>
      <c r="O101" s="549"/>
      <c r="P101" s="549"/>
      <c r="Q101" s="550"/>
      <c r="R101" s="404">
        <v>155</v>
      </c>
      <c r="S101" s="405">
        <f>+IFERROR(VLOOKUP(D5,Resumen!$A$37:$I$48,9,0),"0")</f>
        <v>7313.140000000014</v>
      </c>
      <c r="T101" s="279"/>
      <c r="V101" s="358"/>
      <c r="W101" s="358"/>
    </row>
    <row r="102" spans="2:23" x14ac:dyDescent="0.25">
      <c r="B102" s="49">
        <v>63</v>
      </c>
      <c r="C102" s="471" t="s">
        <v>138</v>
      </c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125">
        <v>54</v>
      </c>
      <c r="S102" s="132"/>
      <c r="T102" s="48" t="s">
        <v>44</v>
      </c>
    </row>
    <row r="103" spans="2:23" x14ac:dyDescent="0.25">
      <c r="B103" s="49">
        <v>64</v>
      </c>
      <c r="C103" s="471" t="s">
        <v>139</v>
      </c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125">
        <v>56</v>
      </c>
      <c r="S103" s="132"/>
      <c r="T103" s="48" t="s">
        <v>44</v>
      </c>
    </row>
    <row r="104" spans="2:23" x14ac:dyDescent="0.25">
      <c r="B104" s="49">
        <v>65</v>
      </c>
      <c r="C104" s="471" t="s">
        <v>140</v>
      </c>
      <c r="D104" s="471"/>
      <c r="E104" s="471"/>
      <c r="F104" s="471"/>
      <c r="G104" s="471"/>
      <c r="H104" s="471"/>
      <c r="I104" s="471"/>
      <c r="J104" s="471"/>
      <c r="K104" s="471"/>
      <c r="L104" s="471"/>
      <c r="M104" s="471"/>
      <c r="N104" s="471"/>
      <c r="O104" s="471"/>
      <c r="P104" s="471"/>
      <c r="Q104" s="471"/>
      <c r="R104" s="125">
        <v>588</v>
      </c>
      <c r="S104" s="132"/>
      <c r="T104" s="48" t="s">
        <v>44</v>
      </c>
    </row>
    <row r="105" spans="2:23" x14ac:dyDescent="0.25">
      <c r="B105" s="49">
        <v>66</v>
      </c>
      <c r="C105" s="471" t="s">
        <v>141</v>
      </c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125">
        <v>589</v>
      </c>
      <c r="S105" s="132"/>
      <c r="T105" s="48" t="s">
        <v>44</v>
      </c>
    </row>
    <row r="106" spans="2:23" x14ac:dyDescent="0.25">
      <c r="B106" s="518" t="s">
        <v>142</v>
      </c>
      <c r="C106" s="519"/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47"/>
    </row>
    <row r="107" spans="2:23" ht="30" customHeight="1" x14ac:dyDescent="0.25">
      <c r="B107" s="49"/>
      <c r="C107" s="125"/>
      <c r="D107" s="516" t="s">
        <v>143</v>
      </c>
      <c r="E107" s="516"/>
      <c r="F107" s="516"/>
      <c r="G107" s="516" t="s">
        <v>144</v>
      </c>
      <c r="H107" s="516"/>
      <c r="I107" s="516" t="s">
        <v>145</v>
      </c>
      <c r="J107" s="516"/>
      <c r="K107" s="516"/>
      <c r="L107" s="516"/>
      <c r="M107" s="516" t="s">
        <v>146</v>
      </c>
      <c r="N107" s="516"/>
      <c r="O107" s="516" t="s">
        <v>147</v>
      </c>
      <c r="P107" s="516"/>
      <c r="Q107" s="516"/>
      <c r="R107" s="516" t="s">
        <v>148</v>
      </c>
      <c r="S107" s="516"/>
      <c r="T107" s="517"/>
    </row>
    <row r="108" spans="2:23" s="314" customFormat="1" ht="30" x14ac:dyDescent="0.25">
      <c r="B108" s="244">
        <v>67</v>
      </c>
      <c r="C108" s="382" t="s">
        <v>149</v>
      </c>
      <c r="D108" s="521">
        <v>750</v>
      </c>
      <c r="E108" s="521"/>
      <c r="F108" s="406"/>
      <c r="G108" s="245">
        <v>30</v>
      </c>
      <c r="H108" s="283">
        <v>0</v>
      </c>
      <c r="I108" s="245">
        <v>563</v>
      </c>
      <c r="J108" s="522">
        <f>SUM(Resumen!D28:E28)</f>
        <v>9327670</v>
      </c>
      <c r="K108" s="522"/>
      <c r="L108" s="522"/>
      <c r="M108" s="245">
        <v>115</v>
      </c>
      <c r="N108" s="245">
        <v>0.125</v>
      </c>
      <c r="O108" s="245">
        <v>68</v>
      </c>
      <c r="P108" s="523"/>
      <c r="Q108" s="523"/>
      <c r="R108" s="245">
        <v>62</v>
      </c>
      <c r="S108" s="407">
        <f>IF(F108="SI",0,ROUND(J108*N108%,0))</f>
        <v>11660</v>
      </c>
      <c r="T108" s="279" t="s">
        <v>44</v>
      </c>
      <c r="V108" s="358"/>
      <c r="W108" s="358"/>
    </row>
    <row r="109" spans="2:23" x14ac:dyDescent="0.25">
      <c r="B109" s="49">
        <v>68</v>
      </c>
      <c r="C109" s="471" t="s">
        <v>150</v>
      </c>
      <c r="D109" s="471"/>
      <c r="E109" s="471"/>
      <c r="F109" s="471"/>
      <c r="G109" s="125">
        <v>565</v>
      </c>
      <c r="H109" s="126"/>
      <c r="I109" s="125">
        <v>120</v>
      </c>
      <c r="J109" s="506"/>
      <c r="K109" s="506"/>
      <c r="L109" s="506"/>
      <c r="M109" s="125">
        <v>542</v>
      </c>
      <c r="N109" s="126"/>
      <c r="O109" s="125">
        <v>122</v>
      </c>
      <c r="P109" s="506"/>
      <c r="Q109" s="506"/>
      <c r="R109" s="125">
        <v>123</v>
      </c>
      <c r="S109" s="134"/>
      <c r="T109" s="48" t="s">
        <v>44</v>
      </c>
    </row>
    <row r="110" spans="2:23" x14ac:dyDescent="0.25">
      <c r="B110" s="49">
        <v>69</v>
      </c>
      <c r="C110" s="471" t="s">
        <v>151</v>
      </c>
      <c r="D110" s="471"/>
      <c r="E110" s="471"/>
      <c r="F110" s="471"/>
      <c r="G110" s="125">
        <v>700</v>
      </c>
      <c r="H110" s="126"/>
      <c r="I110" s="125">
        <v>701</v>
      </c>
      <c r="J110" s="506"/>
      <c r="K110" s="506"/>
      <c r="L110" s="506"/>
      <c r="M110" s="125">
        <v>702</v>
      </c>
      <c r="N110" s="126"/>
      <c r="O110" s="125">
        <v>711</v>
      </c>
      <c r="P110" s="506"/>
      <c r="Q110" s="506"/>
      <c r="R110" s="125">
        <v>703</v>
      </c>
      <c r="S110" s="134"/>
      <c r="T110" s="48" t="s">
        <v>44</v>
      </c>
    </row>
    <row r="111" spans="2:23" x14ac:dyDescent="0.25">
      <c r="B111" s="49">
        <v>70</v>
      </c>
      <c r="C111" s="471" t="s">
        <v>152</v>
      </c>
      <c r="D111" s="471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125">
        <v>66</v>
      </c>
      <c r="S111" s="127"/>
      <c r="T111" s="48" t="s">
        <v>44</v>
      </c>
    </row>
    <row r="112" spans="2:23" x14ac:dyDescent="0.25">
      <c r="B112" s="474">
        <v>71</v>
      </c>
      <c r="C112" s="510" t="s">
        <v>153</v>
      </c>
      <c r="D112" s="511"/>
      <c r="E112" s="511"/>
      <c r="F112" s="512"/>
      <c r="G112" s="516" t="s">
        <v>154</v>
      </c>
      <c r="H112" s="516"/>
      <c r="I112" s="516" t="s">
        <v>155</v>
      </c>
      <c r="J112" s="516"/>
      <c r="K112" s="516"/>
      <c r="L112" s="516"/>
      <c r="M112" s="516" t="s">
        <v>156</v>
      </c>
      <c r="N112" s="516"/>
      <c r="O112" s="516"/>
      <c r="P112" s="516"/>
      <c r="Q112" s="516"/>
      <c r="R112" s="516"/>
      <c r="S112" s="516"/>
      <c r="T112" s="517"/>
    </row>
    <row r="113" spans="2:23" x14ac:dyDescent="0.25">
      <c r="B113" s="475"/>
      <c r="C113" s="513"/>
      <c r="D113" s="514"/>
      <c r="E113" s="514"/>
      <c r="F113" s="515"/>
      <c r="G113" s="125">
        <v>721</v>
      </c>
      <c r="H113" s="126"/>
      <c r="I113" s="125">
        <v>722</v>
      </c>
      <c r="J113" s="506"/>
      <c r="K113" s="506"/>
      <c r="L113" s="506"/>
      <c r="M113" s="125">
        <v>724</v>
      </c>
      <c r="N113" s="509"/>
      <c r="O113" s="509"/>
      <c r="P113" s="471" t="s">
        <v>157</v>
      </c>
      <c r="Q113" s="471"/>
      <c r="R113" s="125">
        <v>723</v>
      </c>
      <c r="S113" s="134"/>
      <c r="T113" s="48" t="s">
        <v>51</v>
      </c>
    </row>
    <row r="114" spans="2:23" x14ac:dyDescent="0.25">
      <c r="B114" s="49">
        <v>72</v>
      </c>
      <c r="C114" s="471" t="s">
        <v>158</v>
      </c>
      <c r="D114" s="471"/>
      <c r="E114" s="471"/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P114" s="471"/>
      <c r="Q114" s="471"/>
      <c r="R114" s="125">
        <v>152</v>
      </c>
      <c r="S114" s="127"/>
      <c r="T114" s="48" t="s">
        <v>44</v>
      </c>
    </row>
    <row r="115" spans="2:23" x14ac:dyDescent="0.25">
      <c r="B115" s="49">
        <v>73</v>
      </c>
      <c r="C115" s="471" t="s">
        <v>159</v>
      </c>
      <c r="D115" s="471"/>
      <c r="E115" s="471"/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P115" s="471"/>
      <c r="Q115" s="471"/>
      <c r="R115" s="125">
        <v>70</v>
      </c>
      <c r="S115" s="127"/>
      <c r="T115" s="48" t="s">
        <v>44</v>
      </c>
    </row>
    <row r="116" spans="2:23" ht="15.75" thickBot="1" x14ac:dyDescent="0.3">
      <c r="B116" s="14">
        <v>74</v>
      </c>
      <c r="C116" s="472" t="s">
        <v>160</v>
      </c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15">
        <v>766</v>
      </c>
      <c r="S116" s="21"/>
      <c r="T116" s="17"/>
    </row>
    <row r="117" spans="2:23" ht="15.75" thickBot="1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2:23" s="314" customFormat="1" ht="15.75" thickBot="1" x14ac:dyDescent="0.3">
      <c r="B118" s="284">
        <v>75</v>
      </c>
      <c r="C118" s="508" t="s">
        <v>161</v>
      </c>
      <c r="D118" s="508"/>
      <c r="E118" s="508"/>
      <c r="F118" s="508"/>
      <c r="G118" s="508"/>
      <c r="H118" s="508"/>
      <c r="I118" s="508"/>
      <c r="J118" s="508"/>
      <c r="K118" s="508"/>
      <c r="L118" s="508"/>
      <c r="M118" s="508"/>
      <c r="N118" s="508"/>
      <c r="O118" s="508"/>
      <c r="P118" s="508"/>
      <c r="Q118" s="508"/>
      <c r="R118" s="285">
        <v>595</v>
      </c>
      <c r="S118" s="286">
        <f>SUM(S80,S95:S105,S108:S111)</f>
        <v>142364.14000000001</v>
      </c>
      <c r="T118" s="287" t="s">
        <v>65</v>
      </c>
      <c r="V118" s="358"/>
      <c r="W118" s="358"/>
    </row>
    <row r="119" spans="2:23" ht="15.75" thickBot="1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2:23" x14ac:dyDescent="0.25">
      <c r="B120" s="484" t="s">
        <v>162</v>
      </c>
      <c r="C120" s="485"/>
      <c r="D120" s="485"/>
      <c r="E120" s="485"/>
      <c r="F120" s="485"/>
      <c r="G120" s="485"/>
      <c r="H120" s="485"/>
      <c r="I120" s="485"/>
      <c r="J120" s="485"/>
      <c r="K120" s="485"/>
      <c r="L120" s="485"/>
      <c r="M120" s="485"/>
      <c r="N120" s="485"/>
      <c r="O120" s="485"/>
      <c r="P120" s="485"/>
      <c r="Q120" s="485"/>
      <c r="R120" s="485"/>
      <c r="S120" s="485"/>
      <c r="T120" s="46"/>
    </row>
    <row r="121" spans="2:23" x14ac:dyDescent="0.25">
      <c r="B121" s="503"/>
      <c r="C121" s="504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 t="s">
        <v>112</v>
      </c>
      <c r="S121" s="504"/>
      <c r="T121" s="505"/>
    </row>
    <row r="122" spans="2:23" x14ac:dyDescent="0.25">
      <c r="B122" s="49">
        <v>76</v>
      </c>
      <c r="C122" s="471" t="s">
        <v>163</v>
      </c>
      <c r="D122" s="471"/>
      <c r="E122" s="471"/>
      <c r="F122" s="471"/>
      <c r="G122" s="471"/>
      <c r="H122" s="471"/>
      <c r="I122" s="471"/>
      <c r="J122" s="471"/>
      <c r="K122" s="471"/>
      <c r="L122" s="471"/>
      <c r="M122" s="471"/>
      <c r="N122" s="471"/>
      <c r="O122" s="471"/>
      <c r="P122" s="471"/>
      <c r="Q122" s="471"/>
      <c r="R122" s="125">
        <v>529</v>
      </c>
      <c r="S122" s="127"/>
      <c r="T122" s="48"/>
    </row>
    <row r="123" spans="2:23" x14ac:dyDescent="0.25">
      <c r="B123" s="49">
        <v>77</v>
      </c>
      <c r="C123" s="471" t="s">
        <v>164</v>
      </c>
      <c r="D123" s="471"/>
      <c r="E123" s="471"/>
      <c r="F123" s="471"/>
      <c r="G123" s="471"/>
      <c r="H123" s="471"/>
      <c r="I123" s="471"/>
      <c r="J123" s="471"/>
      <c r="K123" s="471"/>
      <c r="L123" s="471"/>
      <c r="M123" s="471"/>
      <c r="N123" s="471"/>
      <c r="O123" s="471"/>
      <c r="P123" s="471"/>
      <c r="Q123" s="471"/>
      <c r="R123" s="125">
        <v>530</v>
      </c>
      <c r="S123" s="127"/>
      <c r="T123" s="48"/>
    </row>
    <row r="124" spans="2:23" ht="15.75" thickBot="1" x14ac:dyDescent="0.3">
      <c r="B124" s="10">
        <v>78</v>
      </c>
      <c r="C124" s="470" t="s">
        <v>165</v>
      </c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52">
        <v>409</v>
      </c>
      <c r="S124" s="26"/>
      <c r="T124" s="11" t="s">
        <v>44</v>
      </c>
    </row>
    <row r="125" spans="2:23" ht="15.75" thickBot="1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2:23" x14ac:dyDescent="0.25">
      <c r="B126" s="484" t="s">
        <v>166</v>
      </c>
      <c r="C126" s="485"/>
      <c r="D126" s="485"/>
      <c r="E126" s="485"/>
      <c r="F126" s="485"/>
      <c r="G126" s="485"/>
      <c r="H126" s="485"/>
      <c r="I126" s="485"/>
      <c r="J126" s="485"/>
      <c r="K126" s="485"/>
      <c r="L126" s="485"/>
      <c r="M126" s="485"/>
      <c r="N126" s="485"/>
      <c r="O126" s="485"/>
      <c r="P126" s="485"/>
      <c r="Q126" s="485"/>
      <c r="R126" s="485"/>
      <c r="S126" s="485"/>
      <c r="T126" s="46"/>
    </row>
    <row r="127" spans="2:23" x14ac:dyDescent="0.25">
      <c r="B127" s="49">
        <v>79</v>
      </c>
      <c r="C127" s="471" t="s">
        <v>167</v>
      </c>
      <c r="D127" s="471"/>
      <c r="E127" s="471"/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P127" s="471"/>
      <c r="Q127" s="471"/>
      <c r="R127" s="125">
        <v>522</v>
      </c>
      <c r="S127" s="127"/>
      <c r="T127" s="48" t="s">
        <v>44</v>
      </c>
    </row>
    <row r="128" spans="2:23" x14ac:dyDescent="0.25">
      <c r="B128" s="49">
        <v>80</v>
      </c>
      <c r="C128" s="471" t="s">
        <v>168</v>
      </c>
      <c r="D128" s="471"/>
      <c r="E128" s="471"/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P128" s="471"/>
      <c r="Q128" s="471"/>
      <c r="R128" s="125">
        <v>526</v>
      </c>
      <c r="S128" s="127"/>
      <c r="T128" s="48" t="s">
        <v>44</v>
      </c>
    </row>
    <row r="129" spans="2:20" x14ac:dyDescent="0.25">
      <c r="B129" s="49">
        <v>81</v>
      </c>
      <c r="C129" s="471" t="s">
        <v>169</v>
      </c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125">
        <v>113</v>
      </c>
      <c r="S129" s="127"/>
      <c r="T129" s="48" t="s">
        <v>44</v>
      </c>
    </row>
    <row r="130" spans="2:20" x14ac:dyDescent="0.25">
      <c r="B130" s="49">
        <v>82</v>
      </c>
      <c r="C130" s="471" t="s">
        <v>170</v>
      </c>
      <c r="D130" s="471"/>
      <c r="E130" s="471"/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P130" s="471"/>
      <c r="Q130" s="471"/>
      <c r="R130" s="125">
        <v>28</v>
      </c>
      <c r="S130" s="127"/>
      <c r="T130" s="48" t="s">
        <v>51</v>
      </c>
    </row>
    <row r="131" spans="2:20" x14ac:dyDescent="0.25">
      <c r="B131" s="49">
        <v>83</v>
      </c>
      <c r="C131" s="471" t="s">
        <v>171</v>
      </c>
      <c r="D131" s="471"/>
      <c r="E131" s="471"/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P131" s="471"/>
      <c r="Q131" s="471"/>
      <c r="R131" s="125">
        <v>548</v>
      </c>
      <c r="S131" s="127"/>
      <c r="T131" s="48" t="s">
        <v>51</v>
      </c>
    </row>
    <row r="132" spans="2:20" x14ac:dyDescent="0.25">
      <c r="B132" s="49">
        <v>84</v>
      </c>
      <c r="C132" s="471" t="s">
        <v>172</v>
      </c>
      <c r="D132" s="471"/>
      <c r="E132" s="471"/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P132" s="471"/>
      <c r="Q132" s="471"/>
      <c r="R132" s="125">
        <v>540</v>
      </c>
      <c r="S132" s="127"/>
      <c r="T132" s="48" t="s">
        <v>51</v>
      </c>
    </row>
    <row r="133" spans="2:20" x14ac:dyDescent="0.25">
      <c r="B133" s="49">
        <v>85</v>
      </c>
      <c r="C133" s="471" t="s">
        <v>173</v>
      </c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P133" s="471"/>
      <c r="Q133" s="471"/>
      <c r="R133" s="125">
        <v>541</v>
      </c>
      <c r="S133" s="127"/>
      <c r="T133" s="48" t="s">
        <v>44</v>
      </c>
    </row>
    <row r="134" spans="2:20" ht="15.75" thickBot="1" x14ac:dyDescent="0.3">
      <c r="B134" s="49">
        <v>86</v>
      </c>
      <c r="C134" s="470" t="s">
        <v>174</v>
      </c>
      <c r="D134" s="470"/>
      <c r="E134" s="470"/>
      <c r="F134" s="470"/>
      <c r="G134" s="470"/>
      <c r="H134" s="470"/>
      <c r="I134" s="52">
        <v>549</v>
      </c>
      <c r="J134" s="507">
        <f>IF(S127+S128+S129+S133-S130-S131-S132&lt;0,-(S127+S128+S129+S133-S130-S131-S132),0)</f>
        <v>0</v>
      </c>
      <c r="K134" s="507"/>
      <c r="L134" s="507"/>
      <c r="M134" s="470" t="s">
        <v>175</v>
      </c>
      <c r="N134" s="470"/>
      <c r="O134" s="470"/>
      <c r="P134" s="470"/>
      <c r="Q134" s="470"/>
      <c r="R134" s="52">
        <v>550</v>
      </c>
      <c r="S134" s="27">
        <f>IF(S127+S128+S129+S133-S130-S131-S132&gt;0,S127+S128+S129+S133-S130-S131-S132,0)</f>
        <v>0</v>
      </c>
      <c r="T134" s="11" t="s">
        <v>44</v>
      </c>
    </row>
    <row r="135" spans="2:20" ht="15.75" thickBot="1" x14ac:dyDescent="0.3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2:20" x14ac:dyDescent="0.25">
      <c r="B136" s="484" t="s">
        <v>176</v>
      </c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  <c r="N136" s="485"/>
      <c r="O136" s="485"/>
      <c r="P136" s="485"/>
      <c r="Q136" s="485"/>
      <c r="R136" s="485"/>
      <c r="S136" s="485"/>
      <c r="T136" s="46"/>
    </row>
    <row r="137" spans="2:20" x14ac:dyDescent="0.25">
      <c r="B137" s="503"/>
      <c r="C137" s="504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 t="s">
        <v>177</v>
      </c>
      <c r="S137" s="504"/>
      <c r="T137" s="505"/>
    </row>
    <row r="138" spans="2:20" x14ac:dyDescent="0.25">
      <c r="B138" s="49">
        <v>87</v>
      </c>
      <c r="C138" s="471" t="s">
        <v>178</v>
      </c>
      <c r="D138" s="471"/>
      <c r="E138" s="471"/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P138" s="471"/>
      <c r="Q138" s="471"/>
      <c r="R138" s="125">
        <v>577</v>
      </c>
      <c r="S138" s="127"/>
      <c r="T138" s="48" t="s">
        <v>44</v>
      </c>
    </row>
    <row r="139" spans="2:20" x14ac:dyDescent="0.25">
      <c r="B139" s="49">
        <v>88</v>
      </c>
      <c r="C139" s="471" t="s">
        <v>179</v>
      </c>
      <c r="D139" s="471"/>
      <c r="E139" s="471"/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P139" s="471"/>
      <c r="Q139" s="471"/>
      <c r="R139" s="125">
        <v>32</v>
      </c>
      <c r="S139" s="127"/>
      <c r="T139" s="48" t="s">
        <v>44</v>
      </c>
    </row>
    <row r="140" spans="2:20" x14ac:dyDescent="0.25">
      <c r="B140" s="49">
        <v>89</v>
      </c>
      <c r="C140" s="471" t="s">
        <v>180</v>
      </c>
      <c r="D140" s="471"/>
      <c r="E140" s="471"/>
      <c r="F140" s="471"/>
      <c r="G140" s="471"/>
      <c r="H140" s="471"/>
      <c r="I140" s="471"/>
      <c r="J140" s="471"/>
      <c r="K140" s="471"/>
      <c r="L140" s="471"/>
      <c r="M140" s="471"/>
      <c r="N140" s="471"/>
      <c r="O140" s="471"/>
      <c r="P140" s="471"/>
      <c r="Q140" s="471"/>
      <c r="R140" s="125">
        <v>150</v>
      </c>
      <c r="S140" s="127"/>
      <c r="T140" s="48" t="s">
        <v>44</v>
      </c>
    </row>
    <row r="141" spans="2:20" x14ac:dyDescent="0.25">
      <c r="B141" s="49">
        <v>90</v>
      </c>
      <c r="C141" s="471" t="s">
        <v>181</v>
      </c>
      <c r="D141" s="471"/>
      <c r="E141" s="471"/>
      <c r="F141" s="471"/>
      <c r="G141" s="471"/>
      <c r="H141" s="471"/>
      <c r="I141" s="471"/>
      <c r="J141" s="471"/>
      <c r="K141" s="471"/>
      <c r="L141" s="471"/>
      <c r="M141" s="471"/>
      <c r="N141" s="471"/>
      <c r="O141" s="471"/>
      <c r="P141" s="471"/>
      <c r="Q141" s="471"/>
      <c r="R141" s="125">
        <v>146</v>
      </c>
      <c r="S141" s="127"/>
      <c r="T141" s="48" t="s">
        <v>44</v>
      </c>
    </row>
    <row r="142" spans="2:20" x14ac:dyDescent="0.25">
      <c r="B142" s="49">
        <v>91</v>
      </c>
      <c r="C142" s="471" t="s">
        <v>182</v>
      </c>
      <c r="D142" s="471"/>
      <c r="E142" s="471"/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P142" s="471"/>
      <c r="Q142" s="471"/>
      <c r="R142" s="125">
        <v>752</v>
      </c>
      <c r="S142" s="127"/>
      <c r="T142" s="48" t="s">
        <v>44</v>
      </c>
    </row>
    <row r="143" spans="2:20" x14ac:dyDescent="0.25">
      <c r="B143" s="49">
        <v>92</v>
      </c>
      <c r="C143" s="471" t="s">
        <v>183</v>
      </c>
      <c r="D143" s="471"/>
      <c r="E143" s="471"/>
      <c r="F143" s="471"/>
      <c r="G143" s="471"/>
      <c r="H143" s="471"/>
      <c r="I143" s="471"/>
      <c r="J143" s="471"/>
      <c r="K143" s="471"/>
      <c r="L143" s="471"/>
      <c r="M143" s="471"/>
      <c r="N143" s="471"/>
      <c r="O143" s="471"/>
      <c r="P143" s="471"/>
      <c r="Q143" s="471"/>
      <c r="R143" s="125">
        <v>545</v>
      </c>
      <c r="S143" s="127"/>
      <c r="T143" s="48" t="s">
        <v>44</v>
      </c>
    </row>
    <row r="144" spans="2:20" x14ac:dyDescent="0.25">
      <c r="B144" s="49">
        <v>93</v>
      </c>
      <c r="C144" s="471" t="s">
        <v>184</v>
      </c>
      <c r="D144" s="471"/>
      <c r="E144" s="471"/>
      <c r="F144" s="471"/>
      <c r="G144" s="471"/>
      <c r="H144" s="471"/>
      <c r="I144" s="471"/>
      <c r="J144" s="471"/>
      <c r="K144" s="471"/>
      <c r="L144" s="471"/>
      <c r="M144" s="471"/>
      <c r="N144" s="471"/>
      <c r="O144" s="471"/>
      <c r="P144" s="471"/>
      <c r="Q144" s="471"/>
      <c r="R144" s="125">
        <v>546</v>
      </c>
      <c r="S144" s="127"/>
      <c r="T144" s="48" t="s">
        <v>51</v>
      </c>
    </row>
    <row r="145" spans="2:20" x14ac:dyDescent="0.25">
      <c r="B145" s="49">
        <v>94</v>
      </c>
      <c r="C145" s="471" t="s">
        <v>52</v>
      </c>
      <c r="D145" s="471"/>
      <c r="E145" s="471"/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P145" s="471"/>
      <c r="Q145" s="471"/>
      <c r="R145" s="125">
        <v>710</v>
      </c>
      <c r="S145" s="127"/>
      <c r="T145" s="48" t="s">
        <v>51</v>
      </c>
    </row>
    <row r="146" spans="2:20" x14ac:dyDescent="0.25">
      <c r="B146" s="49">
        <v>95</v>
      </c>
      <c r="C146" s="471" t="s">
        <v>185</v>
      </c>
      <c r="D146" s="471"/>
      <c r="E146" s="471"/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P146" s="471"/>
      <c r="Q146" s="471"/>
      <c r="R146" s="125">
        <v>602</v>
      </c>
      <c r="S146" s="134">
        <f>+S138+S139+S140+S141+S142+S143-S144-S145</f>
        <v>0</v>
      </c>
      <c r="T146" s="48" t="s">
        <v>65</v>
      </c>
    </row>
    <row r="147" spans="2:20" ht="36.75" customHeight="1" x14ac:dyDescent="0.25">
      <c r="B147" s="503"/>
      <c r="C147" s="504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 t="s">
        <v>186</v>
      </c>
      <c r="N147" s="504"/>
      <c r="O147" s="504"/>
      <c r="P147" s="504"/>
      <c r="Q147" s="504"/>
      <c r="R147" s="504" t="s">
        <v>187</v>
      </c>
      <c r="S147" s="504"/>
      <c r="T147" s="505"/>
    </row>
    <row r="148" spans="2:20" x14ac:dyDescent="0.25">
      <c r="B148" s="49">
        <v>96</v>
      </c>
      <c r="C148" s="471" t="s">
        <v>178</v>
      </c>
      <c r="D148" s="471"/>
      <c r="E148" s="471"/>
      <c r="F148" s="471"/>
      <c r="G148" s="471"/>
      <c r="H148" s="471"/>
      <c r="I148" s="471"/>
      <c r="J148" s="471"/>
      <c r="K148" s="471"/>
      <c r="L148" s="471"/>
      <c r="M148" s="125">
        <v>575</v>
      </c>
      <c r="N148" s="506"/>
      <c r="O148" s="506"/>
      <c r="P148" s="506"/>
      <c r="Q148" s="140" t="s">
        <v>44</v>
      </c>
      <c r="R148" s="125">
        <v>576</v>
      </c>
      <c r="S148" s="127"/>
      <c r="T148" s="48" t="s">
        <v>44</v>
      </c>
    </row>
    <row r="149" spans="2:20" x14ac:dyDescent="0.25">
      <c r="B149" s="49">
        <v>97</v>
      </c>
      <c r="C149" s="471" t="s">
        <v>179</v>
      </c>
      <c r="D149" s="471"/>
      <c r="E149" s="471"/>
      <c r="F149" s="471"/>
      <c r="G149" s="471"/>
      <c r="H149" s="471"/>
      <c r="I149" s="471"/>
      <c r="J149" s="471"/>
      <c r="K149" s="471"/>
      <c r="L149" s="471"/>
      <c r="M149" s="125">
        <v>574</v>
      </c>
      <c r="N149" s="506"/>
      <c r="O149" s="506"/>
      <c r="P149" s="506"/>
      <c r="Q149" s="140" t="s">
        <v>44</v>
      </c>
      <c r="R149" s="125">
        <v>33</v>
      </c>
      <c r="S149" s="127"/>
      <c r="T149" s="48" t="s">
        <v>44</v>
      </c>
    </row>
    <row r="150" spans="2:20" x14ac:dyDescent="0.25">
      <c r="B150" s="49">
        <v>98</v>
      </c>
      <c r="C150" s="471" t="s">
        <v>180</v>
      </c>
      <c r="D150" s="471"/>
      <c r="E150" s="471"/>
      <c r="F150" s="471"/>
      <c r="G150" s="471"/>
      <c r="H150" s="471"/>
      <c r="I150" s="471"/>
      <c r="J150" s="471"/>
      <c r="K150" s="471"/>
      <c r="L150" s="471"/>
      <c r="M150" s="125">
        <v>580</v>
      </c>
      <c r="N150" s="506"/>
      <c r="O150" s="506"/>
      <c r="P150" s="506"/>
      <c r="Q150" s="140" t="s">
        <v>44</v>
      </c>
      <c r="R150" s="125">
        <v>149</v>
      </c>
      <c r="S150" s="127"/>
      <c r="T150" s="48" t="s">
        <v>44</v>
      </c>
    </row>
    <row r="151" spans="2:20" x14ac:dyDescent="0.25">
      <c r="B151" s="49">
        <v>99</v>
      </c>
      <c r="C151" s="471" t="s">
        <v>181</v>
      </c>
      <c r="D151" s="471"/>
      <c r="E151" s="471"/>
      <c r="F151" s="471"/>
      <c r="G151" s="471"/>
      <c r="H151" s="471"/>
      <c r="I151" s="471"/>
      <c r="J151" s="471"/>
      <c r="K151" s="471"/>
      <c r="L151" s="471"/>
      <c r="M151" s="125">
        <v>582</v>
      </c>
      <c r="N151" s="506"/>
      <c r="O151" s="506"/>
      <c r="P151" s="506"/>
      <c r="Q151" s="140" t="s">
        <v>44</v>
      </c>
      <c r="R151" s="125">
        <v>85</v>
      </c>
      <c r="S151" s="127"/>
      <c r="T151" s="48" t="s">
        <v>44</v>
      </c>
    </row>
    <row r="152" spans="2:20" x14ac:dyDescent="0.25">
      <c r="B152" s="49">
        <v>100</v>
      </c>
      <c r="C152" s="471" t="s">
        <v>182</v>
      </c>
      <c r="D152" s="471"/>
      <c r="E152" s="471"/>
      <c r="F152" s="471"/>
      <c r="G152" s="471"/>
      <c r="H152" s="471"/>
      <c r="I152" s="471"/>
      <c r="J152" s="471"/>
      <c r="K152" s="471"/>
      <c r="L152" s="471"/>
      <c r="M152" s="125">
        <v>753</v>
      </c>
      <c r="N152" s="506"/>
      <c r="O152" s="506"/>
      <c r="P152" s="506"/>
      <c r="Q152" s="140" t="s">
        <v>44</v>
      </c>
      <c r="R152" s="125">
        <v>754</v>
      </c>
      <c r="S152" s="127"/>
      <c r="T152" s="48" t="s">
        <v>44</v>
      </c>
    </row>
    <row r="153" spans="2:20" x14ac:dyDescent="0.25">
      <c r="B153" s="49">
        <v>101</v>
      </c>
      <c r="C153" s="471" t="s">
        <v>188</v>
      </c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125">
        <v>551</v>
      </c>
      <c r="S153" s="127"/>
      <c r="T153" s="48" t="s">
        <v>44</v>
      </c>
    </row>
    <row r="154" spans="2:20" x14ac:dyDescent="0.25">
      <c r="B154" s="49">
        <v>102</v>
      </c>
      <c r="C154" s="471" t="s">
        <v>189</v>
      </c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P154" s="471"/>
      <c r="Q154" s="471"/>
      <c r="R154" s="125">
        <v>559</v>
      </c>
      <c r="S154" s="127"/>
      <c r="T154" s="48" t="s">
        <v>51</v>
      </c>
    </row>
    <row r="155" spans="2:20" x14ac:dyDescent="0.25">
      <c r="B155" s="49">
        <v>103</v>
      </c>
      <c r="C155" s="471" t="s">
        <v>190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125">
        <v>508</v>
      </c>
      <c r="S155" s="127"/>
      <c r="T155" s="48" t="s">
        <v>44</v>
      </c>
    </row>
    <row r="156" spans="2:20" x14ac:dyDescent="0.25">
      <c r="B156" s="49">
        <v>104</v>
      </c>
      <c r="C156" s="471" t="s">
        <v>191</v>
      </c>
      <c r="D156" s="471"/>
      <c r="E156" s="471"/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P156" s="471"/>
      <c r="Q156" s="471"/>
      <c r="R156" s="125">
        <v>533</v>
      </c>
      <c r="S156" s="127"/>
      <c r="T156" s="48" t="s">
        <v>51</v>
      </c>
    </row>
    <row r="157" spans="2:20" x14ac:dyDescent="0.25">
      <c r="B157" s="49">
        <v>105</v>
      </c>
      <c r="C157" s="471" t="s">
        <v>192</v>
      </c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P157" s="471"/>
      <c r="Q157" s="471"/>
      <c r="R157" s="125">
        <v>552</v>
      </c>
      <c r="S157" s="127"/>
      <c r="T157" s="48" t="s">
        <v>44</v>
      </c>
    </row>
    <row r="158" spans="2:20" ht="15.75" thickBot="1" x14ac:dyDescent="0.3">
      <c r="B158" s="49">
        <v>106</v>
      </c>
      <c r="C158" s="470" t="s">
        <v>193</v>
      </c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52">
        <v>603</v>
      </c>
      <c r="S158" s="27">
        <f>+S148+S149+S150+S151+S152+S153-S154+S155-S156+S157</f>
        <v>0</v>
      </c>
      <c r="T158" s="11" t="s">
        <v>65</v>
      </c>
    </row>
    <row r="159" spans="2:20" ht="15.75" thickBot="1" x14ac:dyDescent="0.3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2:20" ht="15.75" thickBot="1" x14ac:dyDescent="0.3">
      <c r="B160" s="22">
        <v>107</v>
      </c>
      <c r="C160" s="483" t="s">
        <v>194</v>
      </c>
      <c r="D160" s="483"/>
      <c r="E160" s="483"/>
      <c r="F160" s="483"/>
      <c r="G160" s="483"/>
      <c r="H160" s="483"/>
      <c r="I160" s="23">
        <v>507</v>
      </c>
      <c r="J160" s="502">
        <f>IF(S146-S158&lt;0,S158-S146,0)</f>
        <v>0</v>
      </c>
      <c r="K160" s="502"/>
      <c r="L160" s="502"/>
      <c r="M160" s="502"/>
      <c r="N160" s="483" t="s">
        <v>195</v>
      </c>
      <c r="O160" s="483"/>
      <c r="P160" s="483"/>
      <c r="Q160" s="483"/>
      <c r="R160" s="23">
        <v>506</v>
      </c>
      <c r="S160" s="28">
        <f>IF(S146-S158&gt;0,S146-S158,0)</f>
        <v>0</v>
      </c>
      <c r="T160" s="25" t="s">
        <v>44</v>
      </c>
    </row>
    <row r="161" spans="2:20" ht="15.75" thickBot="1" x14ac:dyDescent="0.3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2:20" x14ac:dyDescent="0.25">
      <c r="B162" s="484" t="s">
        <v>196</v>
      </c>
      <c r="C162" s="485"/>
      <c r="D162" s="485"/>
      <c r="E162" s="485"/>
      <c r="F162" s="485"/>
      <c r="G162" s="485"/>
      <c r="H162" s="485"/>
      <c r="I162" s="485"/>
      <c r="J162" s="485"/>
      <c r="K162" s="485"/>
      <c r="L162" s="485"/>
      <c r="M162" s="485"/>
      <c r="N162" s="485"/>
      <c r="O162" s="485"/>
      <c r="P162" s="485"/>
      <c r="Q162" s="485"/>
      <c r="R162" s="485"/>
      <c r="S162" s="485"/>
      <c r="T162" s="46"/>
    </row>
    <row r="163" spans="2:20" x14ac:dyDescent="0.25">
      <c r="B163" s="503" t="s">
        <v>197</v>
      </c>
      <c r="C163" s="504"/>
      <c r="D163" s="504"/>
      <c r="E163" s="504"/>
      <c r="F163" s="504"/>
      <c r="G163" s="504"/>
      <c r="H163" s="504"/>
      <c r="I163" s="504"/>
      <c r="J163" s="504"/>
      <c r="K163" s="504"/>
      <c r="L163" s="504"/>
      <c r="M163" s="504"/>
      <c r="N163" s="504"/>
      <c r="O163" s="504"/>
      <c r="P163" s="504"/>
      <c r="Q163" s="504"/>
      <c r="R163" s="504"/>
      <c r="S163" s="504"/>
      <c r="T163" s="505"/>
    </row>
    <row r="164" spans="2:20" x14ac:dyDescent="0.25">
      <c r="B164" s="49">
        <v>108</v>
      </c>
      <c r="C164" s="471" t="s">
        <v>198</v>
      </c>
      <c r="D164" s="471"/>
      <c r="E164" s="471"/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P164" s="471"/>
      <c r="Q164" s="471"/>
      <c r="R164" s="125">
        <v>556</v>
      </c>
      <c r="S164" s="127">
        <f>SUM(Resumen!M16)</f>
        <v>0</v>
      </c>
      <c r="T164" s="48" t="s">
        <v>44</v>
      </c>
    </row>
    <row r="165" spans="2:20" x14ac:dyDescent="0.25">
      <c r="B165" s="49">
        <v>109</v>
      </c>
      <c r="C165" s="471" t="s">
        <v>199</v>
      </c>
      <c r="D165" s="471"/>
      <c r="E165" s="471"/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P165" s="471"/>
      <c r="Q165" s="471"/>
      <c r="R165" s="125">
        <v>557</v>
      </c>
      <c r="S165" s="127"/>
      <c r="T165" s="48" t="s">
        <v>44</v>
      </c>
    </row>
    <row r="166" spans="2:20" x14ac:dyDescent="0.25">
      <c r="B166" s="49">
        <v>110</v>
      </c>
      <c r="C166" s="471" t="s">
        <v>200</v>
      </c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P166" s="471"/>
      <c r="Q166" s="471"/>
      <c r="R166" s="125">
        <v>558</v>
      </c>
      <c r="S166" s="127"/>
      <c r="T166" s="48" t="s">
        <v>51</v>
      </c>
    </row>
    <row r="167" spans="2:20" x14ac:dyDescent="0.25">
      <c r="B167" s="49">
        <v>111</v>
      </c>
      <c r="C167" s="471" t="s">
        <v>201</v>
      </c>
      <c r="D167" s="471"/>
      <c r="E167" s="471"/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P167" s="471"/>
      <c r="Q167" s="471"/>
      <c r="R167" s="125">
        <v>543</v>
      </c>
      <c r="S167" s="137">
        <f>+S164+S165-S166</f>
        <v>0</v>
      </c>
      <c r="T167" s="48" t="s">
        <v>65</v>
      </c>
    </row>
    <row r="168" spans="2:20" ht="15.75" thickBot="1" x14ac:dyDescent="0.3">
      <c r="B168" s="14">
        <v>112</v>
      </c>
      <c r="C168" s="472" t="s">
        <v>202</v>
      </c>
      <c r="D168" s="472"/>
      <c r="E168" s="472"/>
      <c r="F168" s="472"/>
      <c r="G168" s="472"/>
      <c r="H168" s="472"/>
      <c r="I168" s="15">
        <v>573</v>
      </c>
      <c r="J168" s="501">
        <f>IF(S80&lt;S167,S167-S168,0)</f>
        <v>0</v>
      </c>
      <c r="K168" s="501"/>
      <c r="L168" s="501"/>
      <c r="M168" s="501"/>
      <c r="N168" s="472" t="s">
        <v>203</v>
      </c>
      <c r="O168" s="472"/>
      <c r="P168" s="472"/>
      <c r="Q168" s="472"/>
      <c r="R168" s="15">
        <v>598</v>
      </c>
      <c r="S168" s="16">
        <f>IF(S167&gt;S80,S80,S167)</f>
        <v>0</v>
      </c>
      <c r="T168" s="48" t="s">
        <v>51</v>
      </c>
    </row>
    <row r="169" spans="2:20" ht="15.75" thickBot="1" x14ac:dyDescent="0.3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2:20" x14ac:dyDescent="0.25">
      <c r="B170" s="484" t="s">
        <v>204</v>
      </c>
      <c r="C170" s="485"/>
      <c r="D170" s="485"/>
      <c r="E170" s="485"/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P170" s="485"/>
      <c r="Q170" s="485"/>
      <c r="R170" s="485"/>
      <c r="S170" s="485"/>
      <c r="T170" s="498"/>
    </row>
    <row r="171" spans="2:20" x14ac:dyDescent="0.25">
      <c r="B171" s="49">
        <v>113</v>
      </c>
      <c r="C171" s="471" t="s">
        <v>205</v>
      </c>
      <c r="D171" s="471"/>
      <c r="E171" s="471"/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P171" s="471"/>
      <c r="Q171" s="471"/>
      <c r="R171" s="125">
        <v>39</v>
      </c>
      <c r="S171" s="141"/>
      <c r="T171" s="140" t="s">
        <v>44</v>
      </c>
    </row>
    <row r="172" spans="2:20" x14ac:dyDescent="0.25">
      <c r="B172" s="49">
        <v>114</v>
      </c>
      <c r="C172" s="471" t="s">
        <v>206</v>
      </c>
      <c r="D172" s="471"/>
      <c r="E172" s="471"/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P172" s="471"/>
      <c r="Q172" s="471"/>
      <c r="R172" s="125">
        <v>554</v>
      </c>
      <c r="S172" s="141"/>
      <c r="T172" s="140" t="s">
        <v>44</v>
      </c>
    </row>
    <row r="173" spans="2:20" x14ac:dyDescent="0.25">
      <c r="B173" s="49">
        <v>115</v>
      </c>
      <c r="C173" s="471" t="s">
        <v>207</v>
      </c>
      <c r="D173" s="471"/>
      <c r="E173" s="471"/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P173" s="471"/>
      <c r="Q173" s="471"/>
      <c r="R173" s="125">
        <v>736</v>
      </c>
      <c r="S173" s="141"/>
      <c r="T173" s="140" t="s">
        <v>51</v>
      </c>
    </row>
    <row r="174" spans="2:20" x14ac:dyDescent="0.25">
      <c r="B174" s="49">
        <v>116</v>
      </c>
      <c r="C174" s="471" t="s">
        <v>208</v>
      </c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P174" s="471"/>
      <c r="Q174" s="471"/>
      <c r="R174" s="125">
        <v>597</v>
      </c>
      <c r="S174" s="141"/>
      <c r="T174" s="140" t="s">
        <v>44</v>
      </c>
    </row>
    <row r="175" spans="2:20" ht="15.75" thickBot="1" x14ac:dyDescent="0.3">
      <c r="B175" s="10">
        <v>117</v>
      </c>
      <c r="C175" s="470" t="s">
        <v>209</v>
      </c>
      <c r="D175" s="470"/>
      <c r="E175" s="470"/>
      <c r="F175" s="470"/>
      <c r="G175" s="470"/>
      <c r="H175" s="470"/>
      <c r="I175" s="52">
        <v>555</v>
      </c>
      <c r="J175" s="499"/>
      <c r="K175" s="499"/>
      <c r="L175" s="499"/>
      <c r="M175" s="29" t="s">
        <v>44</v>
      </c>
      <c r="N175" s="500" t="s">
        <v>210</v>
      </c>
      <c r="O175" s="500"/>
      <c r="P175" s="500"/>
      <c r="Q175" s="500"/>
      <c r="R175" s="52">
        <v>596</v>
      </c>
      <c r="S175" s="12">
        <f>+S171+S172-S173+S174+J175</f>
        <v>0</v>
      </c>
      <c r="T175" s="11" t="s">
        <v>44</v>
      </c>
    </row>
    <row r="176" spans="2:20" ht="15.75" thickBot="1" x14ac:dyDescent="0.3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2:20" x14ac:dyDescent="0.25">
      <c r="B177" s="484" t="s">
        <v>211</v>
      </c>
      <c r="C177" s="485"/>
      <c r="D177" s="485"/>
      <c r="E177" s="485"/>
      <c r="F177" s="485"/>
      <c r="G177" s="485"/>
      <c r="H177" s="485"/>
      <c r="I177" s="485"/>
      <c r="J177" s="485"/>
      <c r="K177" s="485"/>
      <c r="L177" s="485"/>
      <c r="M177" s="485"/>
      <c r="N177" s="485"/>
      <c r="O177" s="485"/>
      <c r="P177" s="485"/>
      <c r="Q177" s="485"/>
      <c r="R177" s="485"/>
      <c r="S177" s="485"/>
      <c r="T177" s="46"/>
    </row>
    <row r="178" spans="2:20" x14ac:dyDescent="0.25">
      <c r="B178" s="49">
        <v>118</v>
      </c>
      <c r="C178" s="471" t="s">
        <v>212</v>
      </c>
      <c r="D178" s="471"/>
      <c r="E178" s="471"/>
      <c r="F178" s="471"/>
      <c r="G178" s="125">
        <v>725</v>
      </c>
      <c r="H178" s="129"/>
      <c r="I178" s="471" t="s">
        <v>213</v>
      </c>
      <c r="J178" s="471"/>
      <c r="K178" s="471"/>
      <c r="L178" s="125">
        <v>737</v>
      </c>
      <c r="M178" s="495"/>
      <c r="N178" s="496"/>
      <c r="O178" s="497"/>
      <c r="P178" s="471" t="s">
        <v>214</v>
      </c>
      <c r="Q178" s="471"/>
      <c r="R178" s="125">
        <v>727</v>
      </c>
      <c r="S178" s="134">
        <f>+H178+M178</f>
        <v>0</v>
      </c>
      <c r="T178" s="48" t="s">
        <v>51</v>
      </c>
    </row>
    <row r="179" spans="2:20" x14ac:dyDescent="0.25">
      <c r="B179" s="49">
        <v>119</v>
      </c>
      <c r="C179" s="471" t="s">
        <v>215</v>
      </c>
      <c r="D179" s="471"/>
      <c r="E179" s="471"/>
      <c r="F179" s="471"/>
      <c r="G179" s="125">
        <v>704</v>
      </c>
      <c r="H179" s="129"/>
      <c r="I179" s="471" t="s">
        <v>213</v>
      </c>
      <c r="J179" s="471"/>
      <c r="K179" s="471"/>
      <c r="L179" s="125">
        <v>705</v>
      </c>
      <c r="M179" s="495"/>
      <c r="N179" s="496"/>
      <c r="O179" s="497"/>
      <c r="P179" s="471" t="s">
        <v>214</v>
      </c>
      <c r="Q179" s="471"/>
      <c r="R179" s="125">
        <v>706</v>
      </c>
      <c r="S179" s="134">
        <f t="shared" ref="S179:S183" si="0">+H179+M179</f>
        <v>0</v>
      </c>
      <c r="T179" s="48" t="s">
        <v>51</v>
      </c>
    </row>
    <row r="180" spans="2:20" x14ac:dyDescent="0.25">
      <c r="B180" s="49">
        <v>120</v>
      </c>
      <c r="C180" s="471" t="s">
        <v>216</v>
      </c>
      <c r="D180" s="471"/>
      <c r="E180" s="471"/>
      <c r="F180" s="471"/>
      <c r="G180" s="125">
        <v>160</v>
      </c>
      <c r="H180" s="129"/>
      <c r="I180" s="471" t="s">
        <v>213</v>
      </c>
      <c r="J180" s="471"/>
      <c r="K180" s="471"/>
      <c r="L180" s="125">
        <v>161</v>
      </c>
      <c r="M180" s="495"/>
      <c r="N180" s="496"/>
      <c r="O180" s="497"/>
      <c r="P180" s="471" t="s">
        <v>214</v>
      </c>
      <c r="Q180" s="471"/>
      <c r="R180" s="125">
        <v>570</v>
      </c>
      <c r="S180" s="134">
        <f t="shared" si="0"/>
        <v>0</v>
      </c>
      <c r="T180" s="48" t="s">
        <v>51</v>
      </c>
    </row>
    <row r="181" spans="2:20" x14ac:dyDescent="0.25">
      <c r="B181" s="49">
        <v>121</v>
      </c>
      <c r="C181" s="471" t="s">
        <v>217</v>
      </c>
      <c r="D181" s="471"/>
      <c r="E181" s="471"/>
      <c r="F181" s="471"/>
      <c r="G181" s="125">
        <v>126</v>
      </c>
      <c r="H181" s="129"/>
      <c r="I181" s="471" t="s">
        <v>213</v>
      </c>
      <c r="J181" s="471"/>
      <c r="K181" s="471"/>
      <c r="L181" s="125">
        <v>128</v>
      </c>
      <c r="M181" s="495"/>
      <c r="N181" s="496"/>
      <c r="O181" s="497"/>
      <c r="P181" s="471" t="s">
        <v>214</v>
      </c>
      <c r="Q181" s="471"/>
      <c r="R181" s="125">
        <v>571</v>
      </c>
      <c r="S181" s="134">
        <f t="shared" si="0"/>
        <v>0</v>
      </c>
      <c r="T181" s="48" t="s">
        <v>51</v>
      </c>
    </row>
    <row r="182" spans="2:20" x14ac:dyDescent="0.25">
      <c r="B182" s="49">
        <v>122</v>
      </c>
      <c r="C182" s="471" t="s">
        <v>218</v>
      </c>
      <c r="D182" s="471"/>
      <c r="E182" s="471"/>
      <c r="F182" s="471"/>
      <c r="G182" s="125">
        <v>572</v>
      </c>
      <c r="H182" s="129"/>
      <c r="I182" s="471" t="s">
        <v>213</v>
      </c>
      <c r="J182" s="471"/>
      <c r="K182" s="471"/>
      <c r="L182" s="125">
        <v>568</v>
      </c>
      <c r="M182" s="489"/>
      <c r="N182" s="490"/>
      <c r="O182" s="491"/>
      <c r="P182" s="471" t="s">
        <v>214</v>
      </c>
      <c r="Q182" s="471"/>
      <c r="R182" s="125">
        <v>590</v>
      </c>
      <c r="S182" s="134">
        <f t="shared" si="0"/>
        <v>0</v>
      </c>
      <c r="T182" s="48" t="s">
        <v>51</v>
      </c>
    </row>
    <row r="183" spans="2:20" ht="15.75" thickBot="1" x14ac:dyDescent="0.3">
      <c r="B183" s="51">
        <v>123</v>
      </c>
      <c r="C183" s="472" t="s">
        <v>219</v>
      </c>
      <c r="D183" s="472"/>
      <c r="E183" s="472"/>
      <c r="F183" s="472"/>
      <c r="G183" s="15">
        <v>768</v>
      </c>
      <c r="H183" s="30"/>
      <c r="I183" s="472" t="s">
        <v>213</v>
      </c>
      <c r="J183" s="472"/>
      <c r="K183" s="472"/>
      <c r="L183" s="15">
        <v>769</v>
      </c>
      <c r="M183" s="492"/>
      <c r="N183" s="493"/>
      <c r="O183" s="494"/>
      <c r="P183" s="472" t="s">
        <v>214</v>
      </c>
      <c r="Q183" s="472"/>
      <c r="R183" s="15">
        <v>770</v>
      </c>
      <c r="S183" s="134">
        <f t="shared" si="0"/>
        <v>0</v>
      </c>
      <c r="T183" s="17" t="s">
        <v>51</v>
      </c>
    </row>
    <row r="184" spans="2:20" x14ac:dyDescent="0.25">
      <c r="B184" s="3"/>
      <c r="C184" s="31"/>
      <c r="D184" s="31"/>
      <c r="E184" s="31"/>
      <c r="F184" s="31"/>
      <c r="G184" s="3"/>
      <c r="H184" s="32"/>
      <c r="I184" s="31"/>
      <c r="J184" s="31"/>
      <c r="K184" s="31"/>
      <c r="L184" s="3"/>
      <c r="M184" s="32"/>
      <c r="N184" s="32"/>
      <c r="O184" s="32"/>
      <c r="P184" s="31"/>
      <c r="Q184" s="31"/>
      <c r="R184" s="3"/>
      <c r="S184" s="353">
        <f>+S124+S134+S160+S168+S175-S178-S179-S180-S181-S183</f>
        <v>0</v>
      </c>
      <c r="T184" s="3"/>
    </row>
    <row r="185" spans="2:20" ht="15.75" thickBot="1" x14ac:dyDescent="0.3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353"/>
      <c r="T185" s="9"/>
    </row>
    <row r="186" spans="2:20" ht="15.75" thickBot="1" x14ac:dyDescent="0.3">
      <c r="B186" s="22">
        <v>124</v>
      </c>
      <c r="C186" s="483" t="s">
        <v>220</v>
      </c>
      <c r="D186" s="483"/>
      <c r="E186" s="483"/>
      <c r="F186" s="483"/>
      <c r="G186" s="483"/>
      <c r="H186" s="483"/>
      <c r="I186" s="483"/>
      <c r="J186" s="483"/>
      <c r="K186" s="483"/>
      <c r="L186" s="483"/>
      <c r="M186" s="483"/>
      <c r="N186" s="483"/>
      <c r="O186" s="483"/>
      <c r="P186" s="483"/>
      <c r="Q186" s="483"/>
      <c r="R186" s="23">
        <v>547</v>
      </c>
      <c r="S186" s="34">
        <f>IF(S184=0,0,IF(S185&gt;0,S185,(S118)))</f>
        <v>0</v>
      </c>
      <c r="T186" s="25" t="s">
        <v>65</v>
      </c>
    </row>
    <row r="187" spans="2:20" ht="15.75" thickBot="1" x14ac:dyDescent="0.3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2:20" x14ac:dyDescent="0.25">
      <c r="B188" s="484" t="s">
        <v>221</v>
      </c>
      <c r="C188" s="485"/>
      <c r="D188" s="485"/>
      <c r="E188" s="485"/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P188" s="485"/>
      <c r="Q188" s="485"/>
      <c r="R188" s="485"/>
      <c r="S188" s="485"/>
      <c r="T188" s="46"/>
    </row>
    <row r="189" spans="2:20" x14ac:dyDescent="0.25">
      <c r="B189" s="49">
        <v>125</v>
      </c>
      <c r="C189" s="471" t="s">
        <v>222</v>
      </c>
      <c r="D189" s="471"/>
      <c r="E189" s="471"/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P189" s="471"/>
      <c r="Q189" s="471"/>
      <c r="R189" s="125">
        <v>728</v>
      </c>
      <c r="S189" s="127"/>
      <c r="T189" s="48"/>
    </row>
    <row r="190" spans="2:20" x14ac:dyDescent="0.25">
      <c r="B190" s="49">
        <v>126</v>
      </c>
      <c r="C190" s="471" t="s">
        <v>223</v>
      </c>
      <c r="D190" s="471"/>
      <c r="E190" s="471"/>
      <c r="F190" s="471"/>
      <c r="G190" s="471"/>
      <c r="H190" s="471"/>
      <c r="I190" s="471"/>
      <c r="J190" s="471"/>
      <c r="K190" s="471"/>
      <c r="L190" s="471"/>
      <c r="M190" s="471"/>
      <c r="N190" s="471"/>
      <c r="O190" s="471"/>
      <c r="P190" s="471"/>
      <c r="Q190" s="471"/>
      <c r="R190" s="125">
        <v>707</v>
      </c>
      <c r="S190" s="127"/>
      <c r="T190" s="48"/>
    </row>
    <row r="191" spans="2:20" x14ac:dyDescent="0.25">
      <c r="B191" s="49">
        <v>127</v>
      </c>
      <c r="C191" s="471" t="s">
        <v>224</v>
      </c>
      <c r="D191" s="471"/>
      <c r="E191" s="471"/>
      <c r="F191" s="471"/>
      <c r="G191" s="471"/>
      <c r="H191" s="471"/>
      <c r="I191" s="471"/>
      <c r="J191" s="471"/>
      <c r="K191" s="471"/>
      <c r="L191" s="471"/>
      <c r="M191" s="471"/>
      <c r="N191" s="471"/>
      <c r="O191" s="471"/>
      <c r="P191" s="471"/>
      <c r="Q191" s="471"/>
      <c r="R191" s="125">
        <v>73</v>
      </c>
      <c r="S191" s="127"/>
      <c r="T191" s="48"/>
    </row>
    <row r="192" spans="2:20" x14ac:dyDescent="0.25">
      <c r="B192" s="49">
        <v>128</v>
      </c>
      <c r="C192" s="471" t="s">
        <v>225</v>
      </c>
      <c r="D192" s="471"/>
      <c r="E192" s="471"/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P192" s="471"/>
      <c r="Q192" s="471"/>
      <c r="R192" s="125">
        <v>130</v>
      </c>
      <c r="S192" s="127"/>
      <c r="T192" s="48"/>
    </row>
    <row r="193" spans="2:21" x14ac:dyDescent="0.25">
      <c r="B193" s="49">
        <v>129</v>
      </c>
      <c r="C193" s="471" t="s">
        <v>226</v>
      </c>
      <c r="D193" s="471"/>
      <c r="E193" s="471"/>
      <c r="F193" s="471"/>
      <c r="G193" s="471"/>
      <c r="H193" s="471"/>
      <c r="I193" s="471"/>
      <c r="J193" s="471"/>
      <c r="K193" s="471"/>
      <c r="L193" s="471"/>
      <c r="M193" s="471"/>
      <c r="N193" s="471"/>
      <c r="O193" s="471"/>
      <c r="P193" s="471"/>
      <c r="Q193" s="471"/>
      <c r="R193" s="125">
        <v>591</v>
      </c>
      <c r="S193" s="127"/>
      <c r="T193" s="48"/>
    </row>
    <row r="194" spans="2:21" ht="15.75" thickBot="1" x14ac:dyDescent="0.3">
      <c r="B194" s="14">
        <v>130</v>
      </c>
      <c r="C194" s="472" t="s">
        <v>227</v>
      </c>
      <c r="D194" s="472"/>
      <c r="E194" s="472"/>
      <c r="F194" s="472"/>
      <c r="G194" s="472"/>
      <c r="H194" s="472"/>
      <c r="I194" s="472"/>
      <c r="J194" s="472"/>
      <c r="K194" s="472"/>
      <c r="L194" s="472"/>
      <c r="M194" s="472"/>
      <c r="N194" s="472"/>
      <c r="O194" s="472"/>
      <c r="P194" s="472"/>
      <c r="Q194" s="472"/>
      <c r="R194" s="15">
        <v>771</v>
      </c>
      <c r="S194" s="21"/>
      <c r="T194" s="17"/>
    </row>
    <row r="195" spans="2:21" ht="15.75" thickBot="1" x14ac:dyDescent="0.3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2:21" x14ac:dyDescent="0.25">
      <c r="B196" s="18">
        <v>131</v>
      </c>
      <c r="C196" s="473" t="s">
        <v>228</v>
      </c>
      <c r="D196" s="473"/>
      <c r="E196" s="473"/>
      <c r="F196" s="473"/>
      <c r="G196" s="473"/>
      <c r="H196" s="473"/>
      <c r="I196" s="473"/>
      <c r="J196" s="473"/>
      <c r="K196" s="473"/>
      <c r="L196" s="473"/>
      <c r="M196" s="473"/>
      <c r="N196" s="473"/>
      <c r="O196" s="473"/>
      <c r="P196" s="473"/>
      <c r="Q196" s="473"/>
      <c r="R196" s="8">
        <v>91</v>
      </c>
      <c r="S196" s="35">
        <f>IF(S186&lt;0,0,IF(S186=0,S118,S186))</f>
        <v>142364.14000000001</v>
      </c>
      <c r="T196" s="20" t="s">
        <v>65</v>
      </c>
    </row>
    <row r="197" spans="2:21" x14ac:dyDescent="0.25">
      <c r="B197" s="49">
        <v>132</v>
      </c>
      <c r="C197" s="471" t="s">
        <v>229</v>
      </c>
      <c r="D197" s="471"/>
      <c r="E197" s="471"/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125">
        <v>92</v>
      </c>
      <c r="S197" s="134">
        <f>+Multas!D17</f>
        <v>0</v>
      </c>
      <c r="T197" s="48" t="s">
        <v>44</v>
      </c>
    </row>
    <row r="198" spans="2:21" x14ac:dyDescent="0.25">
      <c r="B198" s="49">
        <v>133</v>
      </c>
      <c r="C198" s="471" t="s">
        <v>230</v>
      </c>
      <c r="D198" s="471"/>
      <c r="E198" s="471"/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P198" s="471"/>
      <c r="Q198" s="471"/>
      <c r="R198" s="125">
        <v>93</v>
      </c>
      <c r="S198" s="134">
        <f>+IF(S196&gt;0,Multas!F17+Multas!H17,Multas!T15)</f>
        <v>16371.876100000003</v>
      </c>
      <c r="T198" s="48" t="s">
        <v>44</v>
      </c>
    </row>
    <row r="199" spans="2:21" x14ac:dyDescent="0.25">
      <c r="B199" s="474"/>
      <c r="C199" s="476" t="s">
        <v>231</v>
      </c>
      <c r="D199" s="478" t="s">
        <v>232</v>
      </c>
      <c r="E199" s="479"/>
      <c r="F199" s="125">
        <v>922</v>
      </c>
      <c r="G199" s="478"/>
      <c r="H199" s="479"/>
      <c r="I199" s="478" t="s">
        <v>233</v>
      </c>
      <c r="J199" s="479"/>
      <c r="K199" s="125">
        <v>915</v>
      </c>
      <c r="L199" s="142"/>
      <c r="M199" s="478" t="s">
        <v>234</v>
      </c>
      <c r="N199" s="479"/>
      <c r="O199" s="125">
        <v>60</v>
      </c>
      <c r="P199" s="478"/>
      <c r="Q199" s="479"/>
      <c r="R199" s="486"/>
      <c r="S199" s="487"/>
      <c r="T199" s="488"/>
    </row>
    <row r="200" spans="2:21" x14ac:dyDescent="0.25">
      <c r="B200" s="475"/>
      <c r="C200" s="477"/>
      <c r="D200" s="480" t="s">
        <v>235</v>
      </c>
      <c r="E200" s="481"/>
      <c r="F200" s="481"/>
      <c r="G200" s="481"/>
      <c r="H200" s="481"/>
      <c r="I200" s="481"/>
      <c r="J200" s="481"/>
      <c r="K200" s="481"/>
      <c r="L200" s="481"/>
      <c r="M200" s="481"/>
      <c r="N200" s="481"/>
      <c r="O200" s="481"/>
      <c r="P200" s="481"/>
      <c r="Q200" s="482"/>
      <c r="R200" s="118">
        <v>795</v>
      </c>
      <c r="S200" s="134">
        <f>+IF(S196&gt;0,Multas!I18,Multas!Y18)*-1</f>
        <v>11460</v>
      </c>
      <c r="T200" s="140" t="s">
        <v>51</v>
      </c>
    </row>
    <row r="201" spans="2:21" ht="15.75" thickBot="1" x14ac:dyDescent="0.3">
      <c r="B201" s="10">
        <v>134</v>
      </c>
      <c r="C201" s="470" t="s">
        <v>236</v>
      </c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52">
        <v>94</v>
      </c>
      <c r="S201" s="16">
        <f>IF(AND(S197=0,S198=0),0,S196+S197+S198-S200)</f>
        <v>147276.01610000001</v>
      </c>
      <c r="T201" s="17" t="s">
        <v>65</v>
      </c>
      <c r="U201" s="264"/>
    </row>
    <row r="202" spans="2:2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1" x14ac:dyDescent="0.25">
      <c r="B203" s="3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1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1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</sheetData>
  <mergeCells count="342">
    <mergeCell ref="V40:W40"/>
    <mergeCell ref="C100:Q100"/>
    <mergeCell ref="C101:Q101"/>
    <mergeCell ref="C3:E3"/>
    <mergeCell ref="I3:M3"/>
    <mergeCell ref="Q3:S3"/>
    <mergeCell ref="C4:C5"/>
    <mergeCell ref="I4:I5"/>
    <mergeCell ref="J4:M5"/>
    <mergeCell ref="Q4:Q5"/>
    <mergeCell ref="R4:S5"/>
    <mergeCell ref="B10:S10"/>
    <mergeCell ref="B11:S11"/>
    <mergeCell ref="B12:S12"/>
    <mergeCell ref="B13:L13"/>
    <mergeCell ref="M13:Q13"/>
    <mergeCell ref="R13:T13"/>
    <mergeCell ref="C7:H7"/>
    <mergeCell ref="J7:N7"/>
    <mergeCell ref="P7:T7"/>
    <mergeCell ref="B8:H8"/>
    <mergeCell ref="I8:N8"/>
    <mergeCell ref="O8:T8"/>
    <mergeCell ref="C17:L17"/>
    <mergeCell ref="N17:Q17"/>
    <mergeCell ref="C18:L18"/>
    <mergeCell ref="N18:Q18"/>
    <mergeCell ref="C19:Q19"/>
    <mergeCell ref="B20:L20"/>
    <mergeCell ref="M20:Q20"/>
    <mergeCell ref="C14:L14"/>
    <mergeCell ref="N14:Q14"/>
    <mergeCell ref="C15:L15"/>
    <mergeCell ref="N15:Q15"/>
    <mergeCell ref="C16:L16"/>
    <mergeCell ref="N16:Q16"/>
    <mergeCell ref="C24:L24"/>
    <mergeCell ref="N24:Q24"/>
    <mergeCell ref="C25:L25"/>
    <mergeCell ref="N25:Q25"/>
    <mergeCell ref="C26:L26"/>
    <mergeCell ref="N26:Q26"/>
    <mergeCell ref="R20:S20"/>
    <mergeCell ref="C21:L21"/>
    <mergeCell ref="N21:Q21"/>
    <mergeCell ref="C22:L22"/>
    <mergeCell ref="N22:Q22"/>
    <mergeCell ref="C23:L23"/>
    <mergeCell ref="N23:Q23"/>
    <mergeCell ref="C30:L30"/>
    <mergeCell ref="N30:Q30"/>
    <mergeCell ref="C31:L31"/>
    <mergeCell ref="N31:Q31"/>
    <mergeCell ref="C32:Q32"/>
    <mergeCell ref="C33:Q33"/>
    <mergeCell ref="C27:L27"/>
    <mergeCell ref="N27:Q27"/>
    <mergeCell ref="C28:L28"/>
    <mergeCell ref="N28:Q28"/>
    <mergeCell ref="C29:L29"/>
    <mergeCell ref="N29:Q29"/>
    <mergeCell ref="B39:S39"/>
    <mergeCell ref="B40:S40"/>
    <mergeCell ref="B41:L41"/>
    <mergeCell ref="M41:Q41"/>
    <mergeCell ref="R41:T41"/>
    <mergeCell ref="C34:Q34"/>
    <mergeCell ref="C35:E35"/>
    <mergeCell ref="K35:M35"/>
    <mergeCell ref="P35:Q35"/>
    <mergeCell ref="C36:Q36"/>
    <mergeCell ref="C37:Q37"/>
    <mergeCell ref="C45:L45"/>
    <mergeCell ref="N45:Q45"/>
    <mergeCell ref="C46:L46"/>
    <mergeCell ref="N46:Q46"/>
    <mergeCell ref="C47:L47"/>
    <mergeCell ref="N47:Q47"/>
    <mergeCell ref="C42:L42"/>
    <mergeCell ref="N42:Q42"/>
    <mergeCell ref="B43:S43"/>
    <mergeCell ref="B44:L44"/>
    <mergeCell ref="M44:Q44"/>
    <mergeCell ref="R44:T44"/>
    <mergeCell ref="C52:L52"/>
    <mergeCell ref="N52:Q52"/>
    <mergeCell ref="C53:L53"/>
    <mergeCell ref="N53:Q53"/>
    <mergeCell ref="C54:L54"/>
    <mergeCell ref="N54:Q54"/>
    <mergeCell ref="B48:S48"/>
    <mergeCell ref="B49:S49"/>
    <mergeCell ref="B50:L50"/>
    <mergeCell ref="M50:Q50"/>
    <mergeCell ref="R50:T50"/>
    <mergeCell ref="C51:L51"/>
    <mergeCell ref="N51:Q51"/>
    <mergeCell ref="C59:L59"/>
    <mergeCell ref="N59:Q59"/>
    <mergeCell ref="C60:Q60"/>
    <mergeCell ref="C61:Q61"/>
    <mergeCell ref="C62:Q62"/>
    <mergeCell ref="C63:Q63"/>
    <mergeCell ref="C55:L55"/>
    <mergeCell ref="N55:Q55"/>
    <mergeCell ref="C56:L56"/>
    <mergeCell ref="N56:Q56"/>
    <mergeCell ref="B57:S57"/>
    <mergeCell ref="C58:L58"/>
    <mergeCell ref="N58:Q58"/>
    <mergeCell ref="C64:Q64"/>
    <mergeCell ref="C65:Q65"/>
    <mergeCell ref="C66:Q66"/>
    <mergeCell ref="C67:Q67"/>
    <mergeCell ref="B68:S68"/>
    <mergeCell ref="B69:I69"/>
    <mergeCell ref="J69:M69"/>
    <mergeCell ref="N69:Q69"/>
    <mergeCell ref="R69:T69"/>
    <mergeCell ref="S70:S71"/>
    <mergeCell ref="T70:T71"/>
    <mergeCell ref="P71:Q71"/>
    <mergeCell ref="B72:B73"/>
    <mergeCell ref="C72:I73"/>
    <mergeCell ref="J72:J73"/>
    <mergeCell ref="K72:M73"/>
    <mergeCell ref="P72:Q72"/>
    <mergeCell ref="R72:R73"/>
    <mergeCell ref="S72:S73"/>
    <mergeCell ref="B70:B71"/>
    <mergeCell ref="C70:I71"/>
    <mergeCell ref="J70:J71"/>
    <mergeCell ref="K70:M71"/>
    <mergeCell ref="P70:Q70"/>
    <mergeCell ref="R70:R71"/>
    <mergeCell ref="B79:Q79"/>
    <mergeCell ref="R79:T79"/>
    <mergeCell ref="C80:E80"/>
    <mergeCell ref="G80:H80"/>
    <mergeCell ref="J80:K80"/>
    <mergeCell ref="N80:O80"/>
    <mergeCell ref="P80:Q80"/>
    <mergeCell ref="T72:T73"/>
    <mergeCell ref="P73:Q73"/>
    <mergeCell ref="C74:Q74"/>
    <mergeCell ref="C75:Q75"/>
    <mergeCell ref="C76:Q76"/>
    <mergeCell ref="C77:Q77"/>
    <mergeCell ref="B83:Q83"/>
    <mergeCell ref="R83:T83"/>
    <mergeCell ref="C84:E84"/>
    <mergeCell ref="G84:H84"/>
    <mergeCell ref="J84:K84"/>
    <mergeCell ref="N84:O84"/>
    <mergeCell ref="P84:Q84"/>
    <mergeCell ref="B81:Q81"/>
    <mergeCell ref="R81:T81"/>
    <mergeCell ref="C82:E82"/>
    <mergeCell ref="G82:H82"/>
    <mergeCell ref="J82:K82"/>
    <mergeCell ref="N82:O82"/>
    <mergeCell ref="P82:Q82"/>
    <mergeCell ref="C87:E87"/>
    <mergeCell ref="G87:H87"/>
    <mergeCell ref="I87:Q87"/>
    <mergeCell ref="C88:E88"/>
    <mergeCell ref="G88:H88"/>
    <mergeCell ref="I88:Q88"/>
    <mergeCell ref="C85:E85"/>
    <mergeCell ref="G85:H85"/>
    <mergeCell ref="I85:Q85"/>
    <mergeCell ref="C86:E86"/>
    <mergeCell ref="G86:H86"/>
    <mergeCell ref="I86:Q86"/>
    <mergeCell ref="R96:R97"/>
    <mergeCell ref="S96:S97"/>
    <mergeCell ref="T96:T97"/>
    <mergeCell ref="C90:Q90"/>
    <mergeCell ref="C91:Q91"/>
    <mergeCell ref="B93:S93"/>
    <mergeCell ref="B94:S94"/>
    <mergeCell ref="C95:Q95"/>
    <mergeCell ref="B96:B97"/>
    <mergeCell ref="C96:F97"/>
    <mergeCell ref="G96:H97"/>
    <mergeCell ref="I96:I97"/>
    <mergeCell ref="J96:L96"/>
    <mergeCell ref="J97:L97"/>
    <mergeCell ref="N97:O97"/>
    <mergeCell ref="C98:Q98"/>
    <mergeCell ref="C99:Q99"/>
    <mergeCell ref="C102:Q102"/>
    <mergeCell ref="C103:Q103"/>
    <mergeCell ref="M96:M97"/>
    <mergeCell ref="N96:O96"/>
    <mergeCell ref="P96:Q97"/>
    <mergeCell ref="D108:E108"/>
    <mergeCell ref="J108:L108"/>
    <mergeCell ref="P108:Q108"/>
    <mergeCell ref="C109:F109"/>
    <mergeCell ref="J109:L109"/>
    <mergeCell ref="P109:Q109"/>
    <mergeCell ref="C104:Q104"/>
    <mergeCell ref="C105:Q105"/>
    <mergeCell ref="B106:S106"/>
    <mergeCell ref="D107:F107"/>
    <mergeCell ref="G107:H107"/>
    <mergeCell ref="I107:L107"/>
    <mergeCell ref="M107:N107"/>
    <mergeCell ref="O107:Q107"/>
    <mergeCell ref="R107:T107"/>
    <mergeCell ref="C110:F110"/>
    <mergeCell ref="J110:L110"/>
    <mergeCell ref="P110:Q110"/>
    <mergeCell ref="C111:Q111"/>
    <mergeCell ref="B112:B113"/>
    <mergeCell ref="C112:F113"/>
    <mergeCell ref="G112:H112"/>
    <mergeCell ref="I112:L112"/>
    <mergeCell ref="M112:O112"/>
    <mergeCell ref="P112:T112"/>
    <mergeCell ref="C118:Q118"/>
    <mergeCell ref="B120:S120"/>
    <mergeCell ref="B121:Q121"/>
    <mergeCell ref="R121:T121"/>
    <mergeCell ref="C122:Q122"/>
    <mergeCell ref="C123:Q123"/>
    <mergeCell ref="J113:L113"/>
    <mergeCell ref="N113:O113"/>
    <mergeCell ref="P113:Q113"/>
    <mergeCell ref="C114:Q114"/>
    <mergeCell ref="C115:Q115"/>
    <mergeCell ref="C116:Q116"/>
    <mergeCell ref="C131:Q131"/>
    <mergeCell ref="C132:Q132"/>
    <mergeCell ref="C133:Q133"/>
    <mergeCell ref="C134:H134"/>
    <mergeCell ref="J134:L134"/>
    <mergeCell ref="M134:Q134"/>
    <mergeCell ref="C124:Q124"/>
    <mergeCell ref="B126:S126"/>
    <mergeCell ref="C127:Q127"/>
    <mergeCell ref="C128:Q128"/>
    <mergeCell ref="C129:Q129"/>
    <mergeCell ref="C130:Q130"/>
    <mergeCell ref="C141:Q141"/>
    <mergeCell ref="C142:Q142"/>
    <mergeCell ref="C143:Q143"/>
    <mergeCell ref="C144:Q144"/>
    <mergeCell ref="C145:Q145"/>
    <mergeCell ref="C146:Q146"/>
    <mergeCell ref="B136:S136"/>
    <mergeCell ref="B137:Q137"/>
    <mergeCell ref="R137:T137"/>
    <mergeCell ref="C138:Q138"/>
    <mergeCell ref="C139:Q139"/>
    <mergeCell ref="C140:Q140"/>
    <mergeCell ref="C150:L150"/>
    <mergeCell ref="N150:P150"/>
    <mergeCell ref="C151:L151"/>
    <mergeCell ref="N151:P151"/>
    <mergeCell ref="C152:L152"/>
    <mergeCell ref="N152:P152"/>
    <mergeCell ref="B147:L147"/>
    <mergeCell ref="M147:Q147"/>
    <mergeCell ref="R147:T147"/>
    <mergeCell ref="C148:L148"/>
    <mergeCell ref="N148:P148"/>
    <mergeCell ref="C149:L149"/>
    <mergeCell ref="N149:P149"/>
    <mergeCell ref="C160:H160"/>
    <mergeCell ref="J160:M160"/>
    <mergeCell ref="N160:Q160"/>
    <mergeCell ref="B162:S162"/>
    <mergeCell ref="B163:T163"/>
    <mergeCell ref="C164:Q164"/>
    <mergeCell ref="C153:Q153"/>
    <mergeCell ref="C154:Q154"/>
    <mergeCell ref="C155:Q155"/>
    <mergeCell ref="C156:Q156"/>
    <mergeCell ref="C157:Q157"/>
    <mergeCell ref="C158:Q158"/>
    <mergeCell ref="B170:T170"/>
    <mergeCell ref="C171:Q171"/>
    <mergeCell ref="C172:Q172"/>
    <mergeCell ref="C173:Q173"/>
    <mergeCell ref="C174:Q174"/>
    <mergeCell ref="C175:H175"/>
    <mergeCell ref="J175:L175"/>
    <mergeCell ref="N175:Q175"/>
    <mergeCell ref="C165:Q165"/>
    <mergeCell ref="C166:Q166"/>
    <mergeCell ref="C167:Q167"/>
    <mergeCell ref="C168:H168"/>
    <mergeCell ref="J168:M168"/>
    <mergeCell ref="N168:Q168"/>
    <mergeCell ref="B177:S177"/>
    <mergeCell ref="C178:F178"/>
    <mergeCell ref="I178:K178"/>
    <mergeCell ref="M178:O178"/>
    <mergeCell ref="P178:Q178"/>
    <mergeCell ref="C179:F179"/>
    <mergeCell ref="I179:K179"/>
    <mergeCell ref="M179:O179"/>
    <mergeCell ref="P179:Q179"/>
    <mergeCell ref="C182:F182"/>
    <mergeCell ref="I182:K182"/>
    <mergeCell ref="M182:O182"/>
    <mergeCell ref="P182:Q182"/>
    <mergeCell ref="C183:F183"/>
    <mergeCell ref="I183:K183"/>
    <mergeCell ref="M183:O183"/>
    <mergeCell ref="P183:Q183"/>
    <mergeCell ref="C180:F180"/>
    <mergeCell ref="I180:K180"/>
    <mergeCell ref="M180:O180"/>
    <mergeCell ref="P180:Q180"/>
    <mergeCell ref="C181:F181"/>
    <mergeCell ref="I181:K181"/>
    <mergeCell ref="M181:O181"/>
    <mergeCell ref="P181:Q181"/>
    <mergeCell ref="C186:Q186"/>
    <mergeCell ref="B188:S188"/>
    <mergeCell ref="C189:Q189"/>
    <mergeCell ref="C190:Q190"/>
    <mergeCell ref="C191:Q191"/>
    <mergeCell ref="C192:Q192"/>
    <mergeCell ref="M199:N199"/>
    <mergeCell ref="P199:Q199"/>
    <mergeCell ref="R199:T199"/>
    <mergeCell ref="C201:Q201"/>
    <mergeCell ref="C193:Q193"/>
    <mergeCell ref="C194:Q194"/>
    <mergeCell ref="C196:Q196"/>
    <mergeCell ref="C197:Q197"/>
    <mergeCell ref="C198:Q198"/>
    <mergeCell ref="B199:B200"/>
    <mergeCell ref="C199:C200"/>
    <mergeCell ref="D199:E199"/>
    <mergeCell ref="G199:H199"/>
    <mergeCell ref="I199:J199"/>
    <mergeCell ref="D200:Q200"/>
  </mergeCells>
  <pageMargins left="0.7" right="0.7" top="0.75" bottom="0.75" header="0.3" footer="0.3"/>
  <pageSetup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N89"/>
  <sheetViews>
    <sheetView showGridLines="0" zoomScale="80" zoomScaleNormal="80" workbookViewId="0">
      <pane ySplit="6" topLeftCell="A13" activePane="bottomLeft" state="frozen"/>
      <selection pane="bottomLeft" activeCell="A21" sqref="A21"/>
    </sheetView>
  </sheetViews>
  <sheetFormatPr baseColWidth="10" defaultColWidth="11.42578125" defaultRowHeight="15" x14ac:dyDescent="0.25"/>
  <cols>
    <col min="1" max="1" width="9.28515625" style="1" bestFit="1" customWidth="1"/>
    <col min="2" max="2" width="41.7109375" style="1" customWidth="1"/>
    <col min="3" max="3" width="15" style="1" bestFit="1" customWidth="1"/>
    <col min="4" max="4" width="11.42578125" style="38" customWidth="1"/>
    <col min="5" max="5" width="12.140625" style="38" customWidth="1"/>
    <col min="6" max="6" width="16.28515625" style="38" customWidth="1"/>
    <col min="7" max="7" width="17.42578125" style="38" customWidth="1"/>
    <col min="8" max="8" width="13.7109375" style="38" bestFit="1" customWidth="1"/>
    <col min="9" max="10" width="12.140625" style="38" bestFit="1" customWidth="1"/>
    <col min="11" max="13" width="11.42578125" style="1"/>
    <col min="14" max="14" width="17.28515625" style="1" bestFit="1" customWidth="1"/>
    <col min="15" max="16384" width="11.42578125" style="1"/>
  </cols>
  <sheetData>
    <row r="4" spans="1:13" ht="20.25" x14ac:dyDescent="0.3">
      <c r="B4" s="431" t="s">
        <v>237</v>
      </c>
      <c r="C4" s="431"/>
      <c r="D4" s="431"/>
      <c r="E4" s="431"/>
      <c r="F4" s="431"/>
      <c r="G4" s="431"/>
    </row>
    <row r="6" spans="1:13" ht="29.25" x14ac:dyDescent="0.25">
      <c r="A6" s="143" t="s">
        <v>238</v>
      </c>
      <c r="B6" s="143" t="s">
        <v>239</v>
      </c>
      <c r="C6" s="144" t="s">
        <v>240</v>
      </c>
      <c r="D6" s="145" t="s">
        <v>241</v>
      </c>
      <c r="E6" s="145" t="s">
        <v>34</v>
      </c>
      <c r="F6" s="145" t="s">
        <v>242</v>
      </c>
      <c r="G6" s="145" t="s">
        <v>243</v>
      </c>
      <c r="H6" s="145" t="s">
        <v>244</v>
      </c>
      <c r="I6" s="145" t="s">
        <v>245</v>
      </c>
      <c r="J6" s="145" t="s">
        <v>246</v>
      </c>
      <c r="K6" s="145" t="s">
        <v>73</v>
      </c>
      <c r="L6" s="74" t="s">
        <v>370</v>
      </c>
      <c r="M6" s="75" t="s">
        <v>369</v>
      </c>
    </row>
    <row r="7" spans="1:13" x14ac:dyDescent="0.25">
      <c r="A7" s="1">
        <v>33</v>
      </c>
      <c r="B7" s="1" t="s">
        <v>247</v>
      </c>
      <c r="C7" s="63">
        <f>+COUNTIF('LC SII'!C:C,Resumen!B7)-C8-C9-C12-C14</f>
        <v>5</v>
      </c>
      <c r="D7" s="64">
        <f>+SUMIF('LC SII'!$C:$C,Resumen!B7,'LC SII'!$J:$J)-D8+D9</f>
        <v>0</v>
      </c>
      <c r="E7" s="64">
        <f>+SUMIF('LC SII'!$C:$C,Resumen!B7,'LC SII'!$K:$K)-E12-E14-E9</f>
        <v>913389</v>
      </c>
      <c r="F7" s="64">
        <f>+SUMIF('LC SII'!$C:$C,Resumen!B7,'LC SII'!$L:$L)-F9-F12-F14</f>
        <v>173543</v>
      </c>
      <c r="G7" s="64">
        <f>+SUMIF('LC SII'!$C:$C,Resumen!B7,'LC SII'!$R:$R)+G9-G12</f>
        <v>0</v>
      </c>
      <c r="H7" s="64">
        <f>+SUMIF('LC SII'!$C:$C,Resumen!B7,'LC SII'!$M:$M)+H9-H12</f>
        <v>0</v>
      </c>
      <c r="I7" s="64">
        <f>+SUMIF('LC SII'!$C:$C,Resumen!B7,'LC SII'!$O:$O)-I8-I9-I12-I14</f>
        <v>1086932</v>
      </c>
      <c r="J7" s="64">
        <f>+ROUND(IF(D71&gt;0,G7*$D$71,G7),0)</f>
        <v>0</v>
      </c>
      <c r="K7" s="64">
        <f>+F7-J7+H7</f>
        <v>173543</v>
      </c>
      <c r="L7" s="1">
        <v>18</v>
      </c>
      <c r="M7" s="64">
        <f>+SUMIF('LC SII'!AA:AA,Resumen!L7,'LC SII'!Z:Z)</f>
        <v>0</v>
      </c>
    </row>
    <row r="8" spans="1:13" x14ac:dyDescent="0.25">
      <c r="A8" s="1">
        <v>34</v>
      </c>
      <c r="B8" s="1" t="s">
        <v>248</v>
      </c>
      <c r="C8" s="63">
        <f>+COUNTIF('LC SII'!B:B,Resumen!A8)</f>
        <v>1</v>
      </c>
      <c r="D8" s="64">
        <f>+SUMIF('LC SII'!$B:$B,Resumen!A8,'LC SII'!J:J)</f>
        <v>205578</v>
      </c>
      <c r="E8" s="64">
        <v>0</v>
      </c>
      <c r="F8" s="64">
        <v>0</v>
      </c>
      <c r="G8" s="64">
        <v>0</v>
      </c>
      <c r="H8" s="64">
        <v>0</v>
      </c>
      <c r="I8" s="64">
        <f>+SUMIF('LC SII'!$B:$B,Resumen!A8,'LC SII'!O:O)</f>
        <v>205578</v>
      </c>
      <c r="J8" s="64">
        <f>+ROUND(IF(D72&gt;0,G8*$D$71,G8),0)</f>
        <v>0</v>
      </c>
      <c r="K8" s="64">
        <f t="shared" ref="K8" si="0">+F8-J8+H8</f>
        <v>0</v>
      </c>
      <c r="L8" s="64"/>
      <c r="M8" s="64"/>
    </row>
    <row r="9" spans="1:13" x14ac:dyDescent="0.25">
      <c r="A9" s="1">
        <v>61</v>
      </c>
      <c r="B9" s="1" t="s">
        <v>249</v>
      </c>
      <c r="C9" s="63">
        <f>+COUNTIF('LC SII'!$B:$B,Resumen!A9)</f>
        <v>1</v>
      </c>
      <c r="D9" s="64">
        <f>+SUMIF('LC SII'!$B:$B,Resumen!A9,'LC SII'!J:J)</f>
        <v>0</v>
      </c>
      <c r="E9" s="64">
        <f>+SUMIF('LC SII'!$B:$B,Resumen!A9,'LC SII'!K:K)</f>
        <v>-465538</v>
      </c>
      <c r="F9" s="64">
        <f>+SUMIF('LC SII'!$B:$B,Resumen!A9,'LC SII'!L:L)</f>
        <v>-88452</v>
      </c>
      <c r="G9" s="64">
        <f>+SUMIF('LC SII'!$B:$B,Resumen!A9,'LC SII'!R:R)</f>
        <v>0</v>
      </c>
      <c r="H9" s="64">
        <f>+SUMIF('LC SII'!$B:$B,Resumen!A9,'LC SII'!M:M)</f>
        <v>0</v>
      </c>
      <c r="I9" s="64">
        <f>+SUMIF('LC SII'!$B:$B,Resumen!A9,'LC SII'!O:O)</f>
        <v>-553990</v>
      </c>
      <c r="J9" s="64">
        <f>+ROUND(IF(D73&gt;0,G9*$D$71,G9),0)</f>
        <v>0</v>
      </c>
      <c r="K9" s="64">
        <f t="shared" ref="K9:K11" si="1">+F9-J9+H9</f>
        <v>-88452</v>
      </c>
      <c r="L9" s="64"/>
      <c r="M9" s="64"/>
    </row>
    <row r="10" spans="1:13" x14ac:dyDescent="0.25">
      <c r="A10" s="1">
        <v>33</v>
      </c>
      <c r="B10" s="1" t="s">
        <v>88</v>
      </c>
      <c r="C10" s="63">
        <f>+COUNTIF('LC SII'!$C:$C,Resumen!B10)</f>
        <v>1</v>
      </c>
      <c r="D10" s="64">
        <f>+SUMIF('LC SII'!$C:$C,Resumen!B10,'LC SII'!$J:$J)</f>
        <v>0</v>
      </c>
      <c r="E10" s="64">
        <f>+SUMIF('LC SII'!$C:$C,Resumen!B10,'LC SII'!$K:$K)</f>
        <v>47815</v>
      </c>
      <c r="F10" s="64">
        <f>+SUMIF('LC SII'!$C:$C,Resumen!B10,'LC SII'!$Q:$Q)</f>
        <v>0</v>
      </c>
      <c r="G10" s="64">
        <f>+SUMIF('LC SII'!$C:$C,Resumen!B10,'LC SII'!$R:$R)</f>
        <v>0</v>
      </c>
      <c r="H10" s="64">
        <f>+SUMIF('LC SII'!$C:$C,Resumen!B10,'LC SII'!$M:$M)</f>
        <v>9085</v>
      </c>
      <c r="I10" s="64">
        <f>+SUMIF('LC SII'!$C:$C,Resumen!B10,'LC SII'!$O:$O)</f>
        <v>56900</v>
      </c>
      <c r="J10" s="64">
        <f>+ROUND(IF(D74&gt;0,G10*$D$71,G10),0)</f>
        <v>0</v>
      </c>
      <c r="K10" s="64">
        <f t="shared" si="1"/>
        <v>9085</v>
      </c>
      <c r="L10" s="64"/>
      <c r="M10" s="64"/>
    </row>
    <row r="11" spans="1:13" x14ac:dyDescent="0.25">
      <c r="A11" s="1">
        <v>33</v>
      </c>
      <c r="B11" s="1" t="s">
        <v>77</v>
      </c>
      <c r="C11" s="63">
        <f>+COUNTIF('LC SII'!C:C,Resumen!B11)</f>
        <v>4</v>
      </c>
      <c r="D11" s="64">
        <f>+SUMIF('LC SII'!$C:$C,Resumen!B11,'LC SII'!$J:$J)</f>
        <v>0</v>
      </c>
      <c r="E11" s="64">
        <f>+SUMIF('LC SII'!$C:$C,Resumen!B11,'LC SII'!$K:$K)</f>
        <v>236539</v>
      </c>
      <c r="F11" s="64">
        <f>+SUMIF('LC SII'!$C:$C,Resumen!B11,'LC SII'!$L:$L)</f>
        <v>0</v>
      </c>
      <c r="G11" s="64">
        <f>+SUMIF('LC SII'!$C:$C,Resumen!B11,'LC SII'!$R:$R)</f>
        <v>0</v>
      </c>
      <c r="H11" s="64">
        <f>+SUMIF('LC SII'!$C:$C,Resumen!B11,'LC SII'!$M:$M)</f>
        <v>44942</v>
      </c>
      <c r="I11" s="64">
        <f>+SUMIF('LC SII'!$C:$C,Resumen!B11,'LC SII'!$O:$O)</f>
        <v>281481</v>
      </c>
      <c r="J11" s="64">
        <f>+ROUND(IF(D75&gt;0,G11*$D$71,G11),0)</f>
        <v>0</v>
      </c>
      <c r="K11" s="64">
        <f t="shared" si="1"/>
        <v>44942</v>
      </c>
      <c r="L11" s="64"/>
      <c r="M11" s="64"/>
    </row>
    <row r="12" spans="1:13" x14ac:dyDescent="0.25">
      <c r="A12" s="1">
        <v>914</v>
      </c>
      <c r="B12" s="1" t="s">
        <v>500</v>
      </c>
      <c r="C12" s="63">
        <f>+COUNTIF('LC SII'!B:B,Resumen!A12)</f>
        <v>8</v>
      </c>
      <c r="D12" s="64">
        <f>+SUMIF('LC SII'!$B:$B,Resumen!A12,'LC SII'!$J:$J)</f>
        <v>0</v>
      </c>
      <c r="E12" s="64">
        <f>+SUMIF('LC SII'!$B:$B,Resumen!A12,'LC SII'!$K:$K)-E13</f>
        <v>2312018</v>
      </c>
      <c r="F12" s="64">
        <f>+SUMIF('LC SII'!$B:$B,Resumen!A12,'LC SII'!$L:$L)-F13</f>
        <v>439283</v>
      </c>
      <c r="G12" s="64">
        <f>+SUMIF('LC SII'!$B:$B,Resumen!B12,'LC SII'!$R:$R)-G13</f>
        <v>0</v>
      </c>
      <c r="H12" s="64">
        <f>+SUMIF('LC SII'!$B:$B,Resumen!A12,'LC SII'!$M:$M)-H13</f>
        <v>0</v>
      </c>
      <c r="I12" s="64">
        <f>+SUMIF('LC SII'!$B:$B,Resumen!A12,'LC SII'!$O:$O)-I13</f>
        <v>2751301</v>
      </c>
      <c r="J12" s="64">
        <f>+ROUND(IF(D76&gt;0,G12*$D$71,G12),0)</f>
        <v>0</v>
      </c>
      <c r="K12" s="64">
        <f>+F12-J12+H12</f>
        <v>439283</v>
      </c>
      <c r="L12" s="64"/>
      <c r="M12" s="64"/>
    </row>
    <row r="13" spans="1:13" x14ac:dyDescent="0.25">
      <c r="A13" s="1">
        <v>914</v>
      </c>
      <c r="B13" s="1" t="s">
        <v>959</v>
      </c>
      <c r="C13" s="63">
        <f>+COUNTIF('LC SII'!$C:$C,Resumen!B13)</f>
        <v>1</v>
      </c>
      <c r="D13" s="64">
        <f>+SUMIF('LC SII'!$C:$C,Resumen!B13,'LC SII'!$J:$J)</f>
        <v>0</v>
      </c>
      <c r="E13" s="64">
        <f>+SUMIF('LC SII'!$C:$C,Resumen!B13,'LC SII'!$K:$K)</f>
        <v>3681929</v>
      </c>
      <c r="F13" s="64">
        <f>+SUMIF('LC SII'!$C:$C,Resumen!B13,'LC SII'!$Q:$Q)</f>
        <v>699567</v>
      </c>
      <c r="G13" s="64">
        <f>+SUMIF('LC SII'!$C:$C,Resumen!B13,'LC SII'!$R:$R)</f>
        <v>0</v>
      </c>
      <c r="H13" s="64">
        <f>+SUMIF('LC SII'!$C:$C,Resumen!B13,'LC SII'!$M:$M)</f>
        <v>0</v>
      </c>
      <c r="I13" s="64">
        <f>+SUMIF('LC SII'!$C:$C,Resumen!B13,'LC SII'!$O:$O)</f>
        <v>4381496</v>
      </c>
      <c r="J13" s="64">
        <f>+ROUND(IF(D77&gt;0,G13*$D$71,G13),0)</f>
        <v>0</v>
      </c>
      <c r="K13" s="64">
        <f t="shared" ref="K13:K14" si="2">+F13-J13+H13</f>
        <v>699567</v>
      </c>
      <c r="L13" s="64"/>
      <c r="M13" s="64"/>
    </row>
    <row r="14" spans="1:13" x14ac:dyDescent="0.25">
      <c r="A14" s="1">
        <v>56</v>
      </c>
      <c r="B14" s="1" t="s">
        <v>631</v>
      </c>
      <c r="C14" s="63">
        <f>+COUNTIF('LC SII'!$B:$B,Resumen!A14)</f>
        <v>1</v>
      </c>
      <c r="D14" s="64">
        <f>+SUMIF('LC SII'!$B:$B,Resumen!A14,'LC SII'!J:J)</f>
        <v>0</v>
      </c>
      <c r="E14" s="64">
        <f>+SUMIF('LC SII'!$B:$B,Resumen!A14,'LC SII'!K:K)</f>
        <v>504</v>
      </c>
      <c r="F14" s="64">
        <f>+SUMIF('LC SII'!$B:$B,Resumen!A14,'LC SII'!L:L)</f>
        <v>96</v>
      </c>
      <c r="G14" s="64">
        <f>+SUMIF('LC SII'!$B:$B,Resumen!A14,'LC SII'!R:R)</f>
        <v>0</v>
      </c>
      <c r="H14" s="64">
        <f>+SUMIF('LC SII'!$B:$B,Resumen!A14,'LC SII'!M:M)</f>
        <v>0</v>
      </c>
      <c r="I14" s="64">
        <f>+SUMIF('LC SII'!$B:$B,Resumen!A14,'LC SII'!O:O)</f>
        <v>600</v>
      </c>
      <c r="J14" s="64">
        <f>+ROUND(IF(D78&gt;0,G14*$D$71,G14),0)</f>
        <v>0</v>
      </c>
      <c r="K14" s="64">
        <f t="shared" si="2"/>
        <v>96</v>
      </c>
      <c r="L14" s="64"/>
      <c r="M14" s="64"/>
    </row>
    <row r="15" spans="1:13" x14ac:dyDescent="0.25">
      <c r="K15" s="38"/>
      <c r="L15" s="38"/>
      <c r="M15" s="38"/>
    </row>
    <row r="16" spans="1:13" x14ac:dyDescent="0.25">
      <c r="B16" s="106" t="s">
        <v>250</v>
      </c>
      <c r="C16" s="106">
        <f t="shared" ref="C16:K16" si="3">SUM(C7:C15)</f>
        <v>22</v>
      </c>
      <c r="D16" s="105">
        <f t="shared" si="3"/>
        <v>205578</v>
      </c>
      <c r="E16" s="105">
        <f t="shared" si="3"/>
        <v>6726656</v>
      </c>
      <c r="F16" s="105">
        <f t="shared" si="3"/>
        <v>1224037</v>
      </c>
      <c r="G16" s="105">
        <f t="shared" si="3"/>
        <v>0</v>
      </c>
      <c r="H16" s="105">
        <f t="shared" si="3"/>
        <v>54027</v>
      </c>
      <c r="I16" s="105">
        <f t="shared" si="3"/>
        <v>8210298</v>
      </c>
      <c r="J16" s="105">
        <f t="shared" si="3"/>
        <v>0</v>
      </c>
      <c r="K16" s="105">
        <f t="shared" si="3"/>
        <v>1278064</v>
      </c>
      <c r="L16" s="105"/>
      <c r="M16" s="105">
        <f>SUM(M7:M15)</f>
        <v>0</v>
      </c>
    </row>
    <row r="17" spans="1:9" x14ac:dyDescent="0.25">
      <c r="D17" s="354">
        <f>+D16-'LC SII'!J6</f>
        <v>0</v>
      </c>
      <c r="E17" s="354">
        <f>+E16-'LC SII'!K6</f>
        <v>0</v>
      </c>
      <c r="F17" s="354">
        <f>F16-'LC SII'!L6</f>
        <v>0</v>
      </c>
      <c r="G17" s="354"/>
      <c r="H17" s="354">
        <f>+H16-'LC SII'!M6</f>
        <v>0</v>
      </c>
      <c r="I17" s="354">
        <f>+I16-'LC SII'!O6</f>
        <v>0</v>
      </c>
    </row>
    <row r="18" spans="1:9" ht="20.25" x14ac:dyDescent="0.3">
      <c r="B18" s="431" t="s">
        <v>251</v>
      </c>
      <c r="C18" s="431"/>
      <c r="D18" s="431"/>
      <c r="E18" s="431"/>
      <c r="F18" s="431"/>
      <c r="G18" s="431"/>
    </row>
    <row r="20" spans="1:9" ht="29.25" x14ac:dyDescent="0.25">
      <c r="A20" s="143" t="s">
        <v>238</v>
      </c>
      <c r="B20" s="143" t="s">
        <v>239</v>
      </c>
      <c r="C20" s="144" t="s">
        <v>240</v>
      </c>
      <c r="D20" s="145" t="s">
        <v>241</v>
      </c>
      <c r="E20" s="145" t="s">
        <v>34</v>
      </c>
      <c r="F20" s="145" t="s">
        <v>252</v>
      </c>
      <c r="G20" s="145" t="s">
        <v>245</v>
      </c>
    </row>
    <row r="21" spans="1:9" x14ac:dyDescent="0.25">
      <c r="A21" s="1">
        <f>+'LV SII'!D39</f>
        <v>33</v>
      </c>
      <c r="B21" s="1" t="str">
        <f>+'LV SII'!E39</f>
        <v>Factura ElectrÃ³nica(33)</v>
      </c>
      <c r="C21" s="63">
        <f>+'LV SII'!F39</f>
        <v>21</v>
      </c>
      <c r="D21" s="64">
        <f>+'LV SII'!G39</f>
        <v>0</v>
      </c>
      <c r="E21" s="64">
        <f>+'LV SII'!H39</f>
        <v>3623240</v>
      </c>
      <c r="F21" s="64">
        <f>+'LV SII'!I39</f>
        <v>688417</v>
      </c>
      <c r="G21" s="64">
        <f>+'LV SII'!J39</f>
        <v>4311657</v>
      </c>
    </row>
    <row r="22" spans="1:9" x14ac:dyDescent="0.25">
      <c r="A22" s="1">
        <v>39</v>
      </c>
      <c r="B22" s="1" t="str">
        <f>+'LV SII'!E40</f>
        <v>Total Oper. del mes Boleta Electr.(39)</v>
      </c>
      <c r="C22" s="63">
        <f>+'LV SII'!F40</f>
        <v>6</v>
      </c>
      <c r="D22" s="64">
        <f>+'LV SII'!G40</f>
        <v>0</v>
      </c>
      <c r="E22" s="64">
        <f>+'LV SII'!H40</f>
        <v>147942</v>
      </c>
      <c r="F22" s="64">
        <f>+'LV SII'!I40</f>
        <v>28108</v>
      </c>
      <c r="G22" s="64">
        <f>+'LV SII'!J40</f>
        <v>176050</v>
      </c>
    </row>
    <row r="23" spans="1:9" x14ac:dyDescent="0.25">
      <c r="A23" s="1">
        <v>41</v>
      </c>
      <c r="B23" s="1" t="str">
        <f>+'LV SII'!E41</f>
        <v>Total Op. del mes Boleta Exenta Electr. (41)</v>
      </c>
      <c r="C23" s="63">
        <f>+'LV SII'!F41</f>
        <v>88</v>
      </c>
      <c r="D23" s="64">
        <f>+'LV SII'!G41</f>
        <v>3767900</v>
      </c>
      <c r="E23" s="64">
        <f>+'LV SII'!H41</f>
        <v>0</v>
      </c>
      <c r="F23" s="64">
        <f>+'LV SII'!I41</f>
        <v>0</v>
      </c>
      <c r="G23" s="64">
        <f>+'LV SII'!J41</f>
        <v>3767900</v>
      </c>
    </row>
    <row r="24" spans="1:9" x14ac:dyDescent="0.25">
      <c r="A24" s="1">
        <v>48</v>
      </c>
      <c r="B24" s="1" t="str">
        <f>+'LV SII'!E42</f>
        <v>Total mes Comprobantes Pago ElectrÃ³nico(48)</v>
      </c>
      <c r="C24" s="63">
        <f>+'LV SII'!F42</f>
        <v>187</v>
      </c>
      <c r="D24" s="64">
        <f>+'LV SII'!G42</f>
        <v>1335900</v>
      </c>
      <c r="E24" s="64">
        <f>+'LV SII'!H42</f>
        <v>325460</v>
      </c>
      <c r="F24" s="64">
        <f>+'LV SII'!I42</f>
        <v>61839</v>
      </c>
      <c r="G24" s="64">
        <f>+'LV SII'!J42</f>
        <v>1723200</v>
      </c>
    </row>
    <row r="25" spans="1:9" x14ac:dyDescent="0.25">
      <c r="A25" s="1">
        <f>+'LV SII'!D43</f>
        <v>61</v>
      </c>
      <c r="B25" s="1" t="str">
        <f>+'LV SII'!E43</f>
        <v>Nota de CrÃ©dito ElectrÃ³nica(61)</v>
      </c>
      <c r="C25" s="63">
        <f>+'LV SII'!F43</f>
        <v>1</v>
      </c>
      <c r="D25" s="64">
        <f>+'LV SII'!G43</f>
        <v>0</v>
      </c>
      <c r="E25" s="64">
        <f>+'LV SII'!H43</f>
        <v>127228</v>
      </c>
      <c r="F25" s="64">
        <f>+'LV SII'!I43</f>
        <v>-24173</v>
      </c>
      <c r="G25" s="64">
        <f>+'LV SII'!J43</f>
        <v>-151401</v>
      </c>
    </row>
    <row r="26" spans="1:9" x14ac:dyDescent="0.25">
      <c r="A26" s="1">
        <f>+'LV SII'!D44</f>
        <v>56</v>
      </c>
      <c r="B26" s="1" t="str">
        <f>+'LV SII'!E44</f>
        <v>Nota de Débito ElectrÃ³nica(56)</v>
      </c>
      <c r="C26" s="63">
        <f>+'LV SII'!F44</f>
        <v>0</v>
      </c>
      <c r="D26" s="64">
        <f>+'LV SII'!G44</f>
        <v>0</v>
      </c>
      <c r="E26" s="64">
        <f>+'LV SII'!H44</f>
        <v>0</v>
      </c>
      <c r="F26" s="64">
        <f>+'LV SII'!I44</f>
        <v>0</v>
      </c>
      <c r="G26" s="64">
        <f>+'LV SII'!J44</f>
        <v>0</v>
      </c>
    </row>
    <row r="28" spans="1:9" x14ac:dyDescent="0.25">
      <c r="B28" s="106" t="s">
        <v>250</v>
      </c>
      <c r="C28" s="106">
        <f>SUM(C21:C27)</f>
        <v>303</v>
      </c>
      <c r="D28" s="105">
        <f t="shared" ref="D28:G28" si="4">SUM(D21:D27)</f>
        <v>5103800</v>
      </c>
      <c r="E28" s="105">
        <f t="shared" si="4"/>
        <v>4223870</v>
      </c>
      <c r="F28" s="105">
        <f t="shared" si="4"/>
        <v>754191</v>
      </c>
      <c r="G28" s="105">
        <f t="shared" si="4"/>
        <v>9827406</v>
      </c>
    </row>
    <row r="30" spans="1:9" x14ac:dyDescent="0.25">
      <c r="B30" s="59" t="s">
        <v>443</v>
      </c>
      <c r="C30" s="59">
        <f>+Comp!L10</f>
        <v>187</v>
      </c>
      <c r="D30" s="76">
        <f>+Comp!M9</f>
        <v>1335900</v>
      </c>
      <c r="E30" s="76">
        <f>+Comp!N8</f>
        <v>325462</v>
      </c>
      <c r="F30" s="76">
        <f>+Comp!O8</f>
        <v>61838</v>
      </c>
      <c r="G30" s="76">
        <f>SUM(D30:F30)</f>
        <v>1723200</v>
      </c>
    </row>
    <row r="31" spans="1:9" x14ac:dyDescent="0.25">
      <c r="B31" s="106" t="s">
        <v>250</v>
      </c>
      <c r="C31" s="359">
        <f>+C24-C30</f>
        <v>0</v>
      </c>
      <c r="D31" s="359">
        <f>+D24-D30</f>
        <v>0</v>
      </c>
      <c r="E31" s="359">
        <f t="shared" ref="E31:G31" si="5">+E24-E30</f>
        <v>-2</v>
      </c>
      <c r="F31" s="359">
        <f t="shared" si="5"/>
        <v>1</v>
      </c>
      <c r="G31" s="359">
        <f t="shared" si="5"/>
        <v>0</v>
      </c>
    </row>
    <row r="33" spans="1:14" ht="20.25" x14ac:dyDescent="0.25">
      <c r="B33" s="571" t="s">
        <v>255</v>
      </c>
      <c r="C33" s="571"/>
      <c r="D33" s="571"/>
      <c r="E33" s="571"/>
      <c r="F33" s="571"/>
      <c r="G33" s="571"/>
      <c r="H33" s="571"/>
      <c r="I33" s="38" t="s">
        <v>256</v>
      </c>
    </row>
    <row r="34" spans="1:14" x14ac:dyDescent="0.25">
      <c r="B34" s="65"/>
      <c r="C34" s="65"/>
      <c r="D34" s="65"/>
      <c r="E34" s="66">
        <v>1</v>
      </c>
      <c r="F34" s="67">
        <v>0.13750000000000001</v>
      </c>
      <c r="G34" s="67">
        <f>+F34</f>
        <v>0.13750000000000001</v>
      </c>
      <c r="H34" s="67">
        <f>+E34-G34</f>
        <v>0.86250000000000004</v>
      </c>
      <c r="I34" s="86">
        <v>0.03</v>
      </c>
    </row>
    <row r="35" spans="1:14" ht="15.75" thickBot="1" x14ac:dyDescent="0.3">
      <c r="A35" s="567" t="s">
        <v>257</v>
      </c>
      <c r="B35" s="567" t="s">
        <v>258</v>
      </c>
      <c r="C35" s="567" t="s">
        <v>259</v>
      </c>
      <c r="D35" s="567"/>
      <c r="E35" s="567" t="s">
        <v>260</v>
      </c>
      <c r="F35" s="567" t="s">
        <v>261</v>
      </c>
      <c r="G35" s="567" t="s">
        <v>262</v>
      </c>
      <c r="H35" s="567" t="s">
        <v>263</v>
      </c>
      <c r="I35" s="567" t="s">
        <v>958</v>
      </c>
    </row>
    <row r="36" spans="1:14" ht="30.75" thickBot="1" x14ac:dyDescent="0.3">
      <c r="A36" s="568"/>
      <c r="B36" s="568"/>
      <c r="C36" s="116" t="s">
        <v>264</v>
      </c>
      <c r="D36" s="116" t="s">
        <v>265</v>
      </c>
      <c r="E36" s="568"/>
      <c r="F36" s="568"/>
      <c r="G36" s="568"/>
      <c r="H36" s="568"/>
      <c r="I36" s="568"/>
      <c r="L36" s="409" t="s">
        <v>25</v>
      </c>
      <c r="M36" s="409" t="s">
        <v>986</v>
      </c>
      <c r="N36" s="409" t="s">
        <v>987</v>
      </c>
    </row>
    <row r="37" spans="1:14" ht="15.75" thickBot="1" x14ac:dyDescent="0.3">
      <c r="A37" s="146">
        <v>1</v>
      </c>
      <c r="B37" s="147" t="s">
        <v>266</v>
      </c>
      <c r="C37" s="72">
        <v>0</v>
      </c>
      <c r="D37" s="71">
        <v>0</v>
      </c>
      <c r="E37" s="70">
        <v>0</v>
      </c>
      <c r="F37" s="70">
        <f t="shared" ref="F37:F48" si="6">+ROUND(E37*$F$34,0)-G37</f>
        <v>0</v>
      </c>
      <c r="G37" s="70">
        <v>0</v>
      </c>
      <c r="H37" s="148">
        <f>+E37-F37-G37</f>
        <v>0</v>
      </c>
      <c r="I37" s="70">
        <f>+E37-F37-H37</f>
        <v>0</v>
      </c>
      <c r="L37" s="410">
        <v>2020</v>
      </c>
      <c r="M37" s="411">
        <v>7.4999999999999997E-3</v>
      </c>
      <c r="N37" s="411">
        <v>0.1075</v>
      </c>
    </row>
    <row r="38" spans="1:14" ht="15.75" thickBot="1" x14ac:dyDescent="0.3">
      <c r="A38" s="60">
        <v>2</v>
      </c>
      <c r="B38" s="68" t="s">
        <v>267</v>
      </c>
      <c r="C38" s="72">
        <v>0</v>
      </c>
      <c r="D38" s="71">
        <v>0</v>
      </c>
      <c r="E38" s="70">
        <v>0</v>
      </c>
      <c r="F38" s="70">
        <f t="shared" si="6"/>
        <v>0</v>
      </c>
      <c r="G38" s="70">
        <v>0</v>
      </c>
      <c r="H38" s="70">
        <f t="shared" ref="H38:H48" si="7">+E38-F38-G38</f>
        <v>0</v>
      </c>
      <c r="I38" s="70">
        <f t="shared" ref="I38:I48" si="8">+E38-F38-H38</f>
        <v>0</v>
      </c>
      <c r="L38" s="410">
        <v>2021</v>
      </c>
      <c r="M38" s="411">
        <v>7.4999999999999997E-3</v>
      </c>
      <c r="N38" s="411">
        <v>0.115</v>
      </c>
    </row>
    <row r="39" spans="1:14" ht="15.75" thickBot="1" x14ac:dyDescent="0.3">
      <c r="A39" s="60">
        <v>3</v>
      </c>
      <c r="B39" s="68" t="s">
        <v>268</v>
      </c>
      <c r="C39" s="72">
        <v>0</v>
      </c>
      <c r="D39" s="71">
        <v>0</v>
      </c>
      <c r="E39" s="70">
        <v>0</v>
      </c>
      <c r="F39" s="70">
        <f t="shared" si="6"/>
        <v>0</v>
      </c>
      <c r="G39" s="70">
        <v>0</v>
      </c>
      <c r="H39" s="70">
        <f t="shared" si="7"/>
        <v>0</v>
      </c>
      <c r="I39" s="70">
        <f t="shared" si="8"/>
        <v>0</v>
      </c>
      <c r="L39" s="410">
        <v>2022</v>
      </c>
      <c r="M39" s="411">
        <v>7.4999999999999997E-3</v>
      </c>
      <c r="N39" s="412" t="s">
        <v>988</v>
      </c>
    </row>
    <row r="40" spans="1:14" ht="15.75" thickBot="1" x14ac:dyDescent="0.3">
      <c r="A40" s="60">
        <v>4</v>
      </c>
      <c r="B40" s="68" t="s">
        <v>269</v>
      </c>
      <c r="C40" s="72">
        <v>0</v>
      </c>
      <c r="D40" s="71">
        <v>0</v>
      </c>
      <c r="E40" s="70">
        <v>0</v>
      </c>
      <c r="F40" s="70">
        <f t="shared" si="6"/>
        <v>0</v>
      </c>
      <c r="G40" s="70">
        <v>0</v>
      </c>
      <c r="H40" s="70">
        <f t="shared" si="7"/>
        <v>0</v>
      </c>
      <c r="I40" s="70">
        <f t="shared" si="8"/>
        <v>0</v>
      </c>
      <c r="L40" s="410">
        <v>2023</v>
      </c>
      <c r="M40" s="411">
        <v>7.4999999999999997E-3</v>
      </c>
      <c r="N40" s="413">
        <v>0.13</v>
      </c>
    </row>
    <row r="41" spans="1:14" ht="15.75" thickBot="1" x14ac:dyDescent="0.3">
      <c r="A41" s="60">
        <v>5</v>
      </c>
      <c r="B41" s="68" t="s">
        <v>270</v>
      </c>
      <c r="C41" s="72">
        <v>0</v>
      </c>
      <c r="D41" s="71">
        <v>0</v>
      </c>
      <c r="E41" s="70">
        <v>0</v>
      </c>
      <c r="F41" s="70">
        <f t="shared" si="6"/>
        <v>0</v>
      </c>
      <c r="G41" s="70">
        <v>0</v>
      </c>
      <c r="H41" s="70">
        <f t="shared" ref="H41:H44" si="9">+E41-F41-G41</f>
        <v>0</v>
      </c>
      <c r="I41" s="70">
        <f t="shared" si="8"/>
        <v>0</v>
      </c>
      <c r="L41" s="414">
        <v>2024</v>
      </c>
      <c r="M41" s="415">
        <v>7.4999999999999997E-3</v>
      </c>
      <c r="N41" s="416" t="s">
        <v>989</v>
      </c>
    </row>
    <row r="42" spans="1:14" ht="15.75" thickBot="1" x14ac:dyDescent="0.3">
      <c r="A42" s="60">
        <v>6</v>
      </c>
      <c r="B42" s="68" t="s">
        <v>271</v>
      </c>
      <c r="C42" s="72">
        <v>0</v>
      </c>
      <c r="D42" s="71">
        <v>0</v>
      </c>
      <c r="E42" s="70">
        <v>0</v>
      </c>
      <c r="F42" s="70">
        <f t="shared" si="6"/>
        <v>0</v>
      </c>
      <c r="G42" s="70">
        <v>0</v>
      </c>
      <c r="H42" s="70">
        <f t="shared" ref="H42" si="10">+E42-F42-G42</f>
        <v>0</v>
      </c>
      <c r="I42" s="70">
        <f t="shared" si="8"/>
        <v>0</v>
      </c>
      <c r="L42" s="417">
        <v>2025</v>
      </c>
      <c r="M42" s="418">
        <v>7.4999999999999997E-3</v>
      </c>
      <c r="N42" s="419" t="s">
        <v>990</v>
      </c>
    </row>
    <row r="43" spans="1:14" ht="15.75" thickBot="1" x14ac:dyDescent="0.3">
      <c r="A43" s="60">
        <v>7</v>
      </c>
      <c r="B43" s="68" t="s">
        <v>272</v>
      </c>
      <c r="C43" s="72">
        <v>2</v>
      </c>
      <c r="D43" s="71"/>
      <c r="E43" s="70">
        <v>897391</v>
      </c>
      <c r="F43" s="70">
        <f t="shared" si="6"/>
        <v>123391</v>
      </c>
      <c r="G43" s="70">
        <v>0</v>
      </c>
      <c r="H43" s="70">
        <v>766686.86</v>
      </c>
      <c r="I43" s="70">
        <f t="shared" si="8"/>
        <v>7313.140000000014</v>
      </c>
      <c r="J43" s="38">
        <f>+F43+I43</f>
        <v>130704.14000000001</v>
      </c>
      <c r="L43" s="410">
        <v>2026</v>
      </c>
      <c r="M43" s="411">
        <v>7.4999999999999997E-3</v>
      </c>
      <c r="N43" s="412" t="s">
        <v>991</v>
      </c>
    </row>
    <row r="44" spans="1:14" ht="15.75" thickBot="1" x14ac:dyDescent="0.3">
      <c r="A44" s="60">
        <v>8</v>
      </c>
      <c r="B44" s="68" t="s">
        <v>273</v>
      </c>
      <c r="C44" s="72">
        <v>0</v>
      </c>
      <c r="D44" s="71">
        <v>0</v>
      </c>
      <c r="E44" s="70">
        <v>0</v>
      </c>
      <c r="F44" s="70">
        <f t="shared" si="6"/>
        <v>0</v>
      </c>
      <c r="G44" s="70">
        <v>0</v>
      </c>
      <c r="H44" s="70">
        <f t="shared" si="9"/>
        <v>0</v>
      </c>
      <c r="I44" s="70">
        <f t="shared" si="8"/>
        <v>0</v>
      </c>
      <c r="L44" s="410">
        <v>2027</v>
      </c>
      <c r="M44" s="411">
        <v>7.4999999999999997E-3</v>
      </c>
      <c r="N44" s="413">
        <v>0.16</v>
      </c>
    </row>
    <row r="45" spans="1:14" x14ac:dyDescent="0.25">
      <c r="A45" s="60">
        <v>9</v>
      </c>
      <c r="B45" s="68" t="s">
        <v>274</v>
      </c>
      <c r="C45" s="72">
        <v>0</v>
      </c>
      <c r="D45" s="71">
        <v>0</v>
      </c>
      <c r="E45" s="70">
        <v>0</v>
      </c>
      <c r="F45" s="70">
        <f t="shared" si="6"/>
        <v>0</v>
      </c>
      <c r="G45" s="70">
        <v>0</v>
      </c>
      <c r="H45" s="70">
        <f t="shared" ref="H45:H47" si="11">+E45-F45-G45</f>
        <v>0</v>
      </c>
      <c r="I45" s="70">
        <f t="shared" si="8"/>
        <v>0</v>
      </c>
      <c r="L45" s="420">
        <v>2028</v>
      </c>
      <c r="M45" s="421">
        <v>0.01</v>
      </c>
      <c r="N45" s="422">
        <v>0.17</v>
      </c>
    </row>
    <row r="46" spans="1:14" x14ac:dyDescent="0.25">
      <c r="A46" s="60">
        <v>10</v>
      </c>
      <c r="B46" s="68" t="s">
        <v>275</v>
      </c>
      <c r="C46" s="72">
        <v>0</v>
      </c>
      <c r="D46" s="71">
        <v>0</v>
      </c>
      <c r="E46" s="70">
        <v>0</v>
      </c>
      <c r="F46" s="70">
        <f t="shared" si="6"/>
        <v>0</v>
      </c>
      <c r="G46" s="70">
        <v>0</v>
      </c>
      <c r="H46" s="70">
        <f t="shared" si="11"/>
        <v>0</v>
      </c>
      <c r="I46" s="70">
        <f t="shared" si="8"/>
        <v>0</v>
      </c>
    </row>
    <row r="47" spans="1:14" x14ac:dyDescent="0.25">
      <c r="A47" s="60">
        <v>11</v>
      </c>
      <c r="B47" s="68" t="s">
        <v>276</v>
      </c>
      <c r="C47" s="72">
        <v>0</v>
      </c>
      <c r="D47" s="71">
        <v>0</v>
      </c>
      <c r="E47" s="70">
        <v>0</v>
      </c>
      <c r="F47" s="70">
        <f t="shared" si="6"/>
        <v>0</v>
      </c>
      <c r="G47" s="70">
        <v>0</v>
      </c>
      <c r="H47" s="70">
        <f t="shared" si="11"/>
        <v>0</v>
      </c>
      <c r="I47" s="70">
        <f t="shared" si="8"/>
        <v>0</v>
      </c>
    </row>
    <row r="48" spans="1:14" x14ac:dyDescent="0.25">
      <c r="A48" s="119">
        <v>12</v>
      </c>
      <c r="B48" s="68" t="s">
        <v>277</v>
      </c>
      <c r="C48" s="72">
        <v>0</v>
      </c>
      <c r="D48" s="71">
        <v>0</v>
      </c>
      <c r="E48" s="70">
        <v>0</v>
      </c>
      <c r="F48" s="70">
        <f t="shared" si="6"/>
        <v>0</v>
      </c>
      <c r="G48" s="149">
        <v>0</v>
      </c>
      <c r="H48" s="149">
        <f t="shared" si="7"/>
        <v>0</v>
      </c>
      <c r="I48" s="70">
        <f t="shared" si="8"/>
        <v>0</v>
      </c>
    </row>
    <row r="49" spans="1:9" x14ac:dyDescent="0.25">
      <c r="B49" s="150" t="s">
        <v>278</v>
      </c>
      <c r="C49" s="151">
        <f t="shared" ref="C49:E49" si="12">SUM(C37:C48)</f>
        <v>2</v>
      </c>
      <c r="D49" s="151">
        <f t="shared" si="12"/>
        <v>0</v>
      </c>
      <c r="E49" s="151">
        <f t="shared" si="12"/>
        <v>897391</v>
      </c>
      <c r="F49" s="151">
        <f>SUM(F37:F48)</f>
        <v>123391</v>
      </c>
      <c r="G49" s="151">
        <f t="shared" ref="G49:I49" si="13">SUM(G37:G48)</f>
        <v>0</v>
      </c>
      <c r="H49" s="151">
        <f t="shared" si="13"/>
        <v>766686.86</v>
      </c>
      <c r="I49" s="151">
        <f t="shared" si="13"/>
        <v>7313.140000000014</v>
      </c>
    </row>
    <row r="53" spans="1:9" x14ac:dyDescent="0.25">
      <c r="B53" s="569" t="s">
        <v>279</v>
      </c>
      <c r="C53" s="569"/>
      <c r="D53" s="569"/>
      <c r="E53" s="569"/>
    </row>
    <row r="54" spans="1:9" x14ac:dyDescent="0.25">
      <c r="D54" s="1"/>
    </row>
    <row r="55" spans="1:9" x14ac:dyDescent="0.25">
      <c r="A55" s="143" t="s">
        <v>257</v>
      </c>
      <c r="B55" s="143" t="s">
        <v>280</v>
      </c>
      <c r="C55" s="143" t="s">
        <v>281</v>
      </c>
      <c r="D55" s="143" t="s">
        <v>282</v>
      </c>
      <c r="E55" s="152" t="s">
        <v>17</v>
      </c>
    </row>
    <row r="56" spans="1:9" x14ac:dyDescent="0.25">
      <c r="A56" s="1">
        <v>1</v>
      </c>
      <c r="B56" s="68" t="s">
        <v>266</v>
      </c>
      <c r="C56" s="38">
        <v>0</v>
      </c>
      <c r="D56" s="38">
        <v>0</v>
      </c>
      <c r="E56" s="38">
        <f>+C56+D56</f>
        <v>0</v>
      </c>
    </row>
    <row r="57" spans="1:9" x14ac:dyDescent="0.25">
      <c r="A57" s="1">
        <v>2</v>
      </c>
      <c r="B57" s="68" t="s">
        <v>267</v>
      </c>
      <c r="C57" s="38">
        <v>0</v>
      </c>
      <c r="D57" s="38">
        <v>0</v>
      </c>
      <c r="E57" s="38">
        <f t="shared" ref="E57:E67" si="14">+C57+D57</f>
        <v>0</v>
      </c>
    </row>
    <row r="58" spans="1:9" x14ac:dyDescent="0.25">
      <c r="A58" s="1">
        <v>3</v>
      </c>
      <c r="B58" s="68" t="s">
        <v>268</v>
      </c>
      <c r="C58" s="38">
        <v>0</v>
      </c>
      <c r="D58" s="38">
        <v>0</v>
      </c>
      <c r="E58" s="38">
        <f t="shared" si="14"/>
        <v>0</v>
      </c>
    </row>
    <row r="59" spans="1:9" x14ac:dyDescent="0.25">
      <c r="A59" s="1">
        <v>4</v>
      </c>
      <c r="B59" s="68" t="s">
        <v>269</v>
      </c>
      <c r="C59" s="38">
        <v>0</v>
      </c>
      <c r="D59" s="38">
        <v>0</v>
      </c>
      <c r="E59" s="38">
        <f t="shared" si="14"/>
        <v>0</v>
      </c>
    </row>
    <row r="60" spans="1:9" x14ac:dyDescent="0.25">
      <c r="A60" s="1">
        <v>5</v>
      </c>
      <c r="B60" s="68" t="s">
        <v>270</v>
      </c>
      <c r="C60" s="38">
        <v>0</v>
      </c>
      <c r="D60" s="38">
        <v>0</v>
      </c>
      <c r="E60" s="38">
        <f t="shared" ref="E60" si="15">+C60+D60</f>
        <v>0</v>
      </c>
    </row>
    <row r="61" spans="1:9" x14ac:dyDescent="0.25">
      <c r="A61" s="1">
        <v>6</v>
      </c>
      <c r="B61" s="68" t="s">
        <v>271</v>
      </c>
      <c r="C61" s="38">
        <v>0</v>
      </c>
      <c r="D61" s="38">
        <v>0</v>
      </c>
      <c r="E61" s="38">
        <f t="shared" ref="E61" si="16">+C61+D61</f>
        <v>0</v>
      </c>
    </row>
    <row r="62" spans="1:9" x14ac:dyDescent="0.25">
      <c r="A62" s="1">
        <v>7</v>
      </c>
      <c r="B62" s="68" t="s">
        <v>272</v>
      </c>
      <c r="C62" s="38">
        <f>SUM(E28)</f>
        <v>4223870</v>
      </c>
      <c r="D62" s="38">
        <f>SUM(D28)</f>
        <v>5103800</v>
      </c>
      <c r="E62" s="38">
        <f t="shared" si="14"/>
        <v>9327670</v>
      </c>
    </row>
    <row r="63" spans="1:9" x14ac:dyDescent="0.25">
      <c r="A63" s="1">
        <v>8</v>
      </c>
      <c r="B63" s="68" t="s">
        <v>273</v>
      </c>
      <c r="C63" s="38">
        <v>0</v>
      </c>
      <c r="D63" s="38">
        <v>0</v>
      </c>
      <c r="E63" s="38">
        <f t="shared" si="14"/>
        <v>0</v>
      </c>
    </row>
    <row r="64" spans="1:9" x14ac:dyDescent="0.25">
      <c r="A64" s="1">
        <v>9</v>
      </c>
      <c r="B64" s="68" t="s">
        <v>274</v>
      </c>
      <c r="C64" s="38">
        <v>0</v>
      </c>
      <c r="D64" s="38">
        <v>0</v>
      </c>
      <c r="E64" s="38">
        <f t="shared" si="14"/>
        <v>0</v>
      </c>
    </row>
    <row r="65" spans="1:6" x14ac:dyDescent="0.25">
      <c r="A65" s="1">
        <v>10</v>
      </c>
      <c r="B65" s="68" t="s">
        <v>275</v>
      </c>
      <c r="C65" s="38">
        <v>0</v>
      </c>
      <c r="D65" s="38">
        <v>0</v>
      </c>
      <c r="E65" s="38">
        <f t="shared" si="14"/>
        <v>0</v>
      </c>
    </row>
    <row r="66" spans="1:6" x14ac:dyDescent="0.25">
      <c r="A66" s="1">
        <v>11</v>
      </c>
      <c r="B66" s="68" t="s">
        <v>276</v>
      </c>
      <c r="C66" s="38">
        <v>0</v>
      </c>
      <c r="D66" s="38">
        <v>0</v>
      </c>
      <c r="E66" s="38">
        <f t="shared" si="14"/>
        <v>0</v>
      </c>
    </row>
    <row r="67" spans="1:6" x14ac:dyDescent="0.25">
      <c r="A67" s="121">
        <v>12</v>
      </c>
      <c r="B67" s="68" t="s">
        <v>277</v>
      </c>
      <c r="C67" s="38">
        <v>0</v>
      </c>
      <c r="D67" s="38">
        <v>0</v>
      </c>
      <c r="E67" s="38">
        <f t="shared" si="14"/>
        <v>0</v>
      </c>
    </row>
    <row r="68" spans="1:6" x14ac:dyDescent="0.25">
      <c r="B68" s="153" t="s">
        <v>278</v>
      </c>
      <c r="C68" s="105">
        <f>SUM(C56:C67)</f>
        <v>4223870</v>
      </c>
      <c r="D68" s="105">
        <f t="shared" ref="D68:E68" si="17">SUM(D56:D67)</f>
        <v>5103800</v>
      </c>
      <c r="E68" s="105">
        <f t="shared" si="17"/>
        <v>9327670</v>
      </c>
    </row>
    <row r="69" spans="1:6" x14ac:dyDescent="0.25">
      <c r="D69" s="1"/>
    </row>
    <row r="70" spans="1:6" x14ac:dyDescent="0.25">
      <c r="A70" s="154"/>
      <c r="B70" s="155"/>
      <c r="C70" s="155"/>
      <c r="D70" s="155"/>
      <c r="E70" s="156"/>
      <c r="F70" s="157"/>
    </row>
    <row r="71" spans="1:6" x14ac:dyDescent="0.25">
      <c r="A71" s="69"/>
      <c r="B71" s="59" t="s">
        <v>283</v>
      </c>
      <c r="C71" s="76">
        <f>+C68</f>
        <v>4223870</v>
      </c>
      <c r="D71" s="570">
        <f>IF(C72&gt;0,C71/C72,0)</f>
        <v>0.45283227215371041</v>
      </c>
      <c r="E71" s="79" t="s">
        <v>68</v>
      </c>
      <c r="F71" s="80"/>
    </row>
    <row r="72" spans="1:6" x14ac:dyDescent="0.25">
      <c r="A72" s="69"/>
      <c r="B72" s="106" t="s">
        <v>284</v>
      </c>
      <c r="C72" s="105">
        <f>+E68</f>
        <v>9327670</v>
      </c>
      <c r="D72" s="570"/>
      <c r="E72" s="79"/>
      <c r="F72" s="80"/>
    </row>
    <row r="73" spans="1:6" x14ac:dyDescent="0.25">
      <c r="A73" s="158"/>
      <c r="B73" s="121"/>
      <c r="C73" s="121"/>
      <c r="D73" s="159"/>
      <c r="E73" s="159"/>
      <c r="F73" s="160"/>
    </row>
    <row r="75" spans="1:6" x14ac:dyDescent="0.25">
      <c r="B75" s="59" t="s">
        <v>285</v>
      </c>
    </row>
    <row r="77" spans="1:6" x14ac:dyDescent="0.25">
      <c r="A77" s="143" t="s">
        <v>286</v>
      </c>
      <c r="B77" s="143" t="s">
        <v>287</v>
      </c>
      <c r="C77" s="165" t="s">
        <v>288</v>
      </c>
      <c r="D77" s="166" t="s">
        <v>289</v>
      </c>
    </row>
    <row r="78" spans="1:6" x14ac:dyDescent="0.25">
      <c r="A78" s="1">
        <v>1108001</v>
      </c>
      <c r="B78" s="1" t="s">
        <v>290</v>
      </c>
      <c r="D78" s="1">
        <f>SUM('F-29'!$N$42:$Q$42)</f>
        <v>1224037</v>
      </c>
      <c r="E78" s="38" t="str">
        <f>+F6</f>
        <v>IVA Recuperable</v>
      </c>
    </row>
    <row r="79" spans="1:6" x14ac:dyDescent="0.25">
      <c r="A79" s="1">
        <v>1108002</v>
      </c>
      <c r="B79" s="1" t="s">
        <v>291</v>
      </c>
      <c r="C79" s="1">
        <f>+'F-29'!S108</f>
        <v>11660</v>
      </c>
      <c r="D79" s="1"/>
      <c r="E79" s="38" t="s">
        <v>142</v>
      </c>
    </row>
    <row r="80" spans="1:6" x14ac:dyDescent="0.25">
      <c r="A80" s="1">
        <v>1108003</v>
      </c>
      <c r="B80" s="1" t="s">
        <v>292</v>
      </c>
      <c r="D80" s="1">
        <f>+IFERROR(VLOOKUP('F-29'!$D$5,'RCF-PPM'!$E$9:$I$20,2,0),"0")</f>
        <v>0</v>
      </c>
      <c r="E80" s="109" t="s">
        <v>293</v>
      </c>
    </row>
    <row r="81" spans="1:5" x14ac:dyDescent="0.25">
      <c r="A81" s="1">
        <v>4101002</v>
      </c>
      <c r="B81" s="1" t="s">
        <v>294</v>
      </c>
      <c r="D81" s="1">
        <f>+IFERROR(VLOOKUP('F-29'!$D$5,'RCF-PPM'!$E$9:$I$20,5,0),"0")</f>
        <v>0</v>
      </c>
      <c r="E81" s="38" t="s">
        <v>295</v>
      </c>
    </row>
    <row r="82" spans="1:5" x14ac:dyDescent="0.25">
      <c r="A82" s="1">
        <v>1108003</v>
      </c>
      <c r="B82" s="1" t="s">
        <v>292</v>
      </c>
      <c r="C82" s="1">
        <f>SUM('F-29'!$G$80:$H$80)</f>
        <v>469846</v>
      </c>
      <c r="D82" s="1"/>
      <c r="E82" s="109" t="s">
        <v>296</v>
      </c>
    </row>
    <row r="83" spans="1:5" x14ac:dyDescent="0.25">
      <c r="A83" s="1">
        <v>2104003</v>
      </c>
      <c r="B83" s="1" t="s">
        <v>297</v>
      </c>
      <c r="D83" s="355">
        <f>+'F-29'!S196</f>
        <v>142364.14000000001</v>
      </c>
      <c r="E83" s="38" t="s">
        <v>298</v>
      </c>
    </row>
    <row r="84" spans="1:5" x14ac:dyDescent="0.25">
      <c r="A84" s="1">
        <v>2104002</v>
      </c>
      <c r="B84" s="1" t="s">
        <v>960</v>
      </c>
      <c r="C84" s="355">
        <f>SUM('F-29'!S100:S101)</f>
        <v>7313.140000000014</v>
      </c>
      <c r="D84" s="355"/>
      <c r="E84" s="38" t="s">
        <v>961</v>
      </c>
    </row>
    <row r="85" spans="1:5" x14ac:dyDescent="0.25">
      <c r="A85" s="1">
        <v>2104001</v>
      </c>
      <c r="B85" s="1" t="s">
        <v>299</v>
      </c>
      <c r="C85" s="1">
        <f>+'F-29'!S98</f>
        <v>123391</v>
      </c>
      <c r="D85" s="1"/>
      <c r="E85" s="38" t="s">
        <v>300</v>
      </c>
    </row>
    <row r="86" spans="1:5" x14ac:dyDescent="0.25">
      <c r="A86" s="1">
        <v>2104004</v>
      </c>
      <c r="B86" s="1" t="s">
        <v>301</v>
      </c>
      <c r="C86" s="1">
        <f>+'F-29'!S37</f>
        <v>754191</v>
      </c>
      <c r="D86" s="1"/>
      <c r="E86" s="38" t="s">
        <v>302</v>
      </c>
    </row>
    <row r="87" spans="1:5" x14ac:dyDescent="0.25">
      <c r="C87" s="38"/>
    </row>
    <row r="88" spans="1:5" x14ac:dyDescent="0.25">
      <c r="A88" s="115"/>
      <c r="B88" s="115" t="s">
        <v>250</v>
      </c>
      <c r="C88" s="161">
        <f>SUM(C78:C86)</f>
        <v>1366401.1400000001</v>
      </c>
      <c r="D88" s="161">
        <f>SUM(D78:D86)</f>
        <v>1366401.1400000001</v>
      </c>
    </row>
    <row r="89" spans="1:5" x14ac:dyDescent="0.25">
      <c r="A89" s="155"/>
      <c r="B89" s="155"/>
      <c r="C89" s="155"/>
      <c r="D89" s="105">
        <f>+C88-D88</f>
        <v>0</v>
      </c>
    </row>
  </sheetData>
  <mergeCells count="13">
    <mergeCell ref="A35:A36"/>
    <mergeCell ref="B33:H33"/>
    <mergeCell ref="B35:B36"/>
    <mergeCell ref="C35:D35"/>
    <mergeCell ref="E35:E36"/>
    <mergeCell ref="F35:F36"/>
    <mergeCell ref="G35:G36"/>
    <mergeCell ref="H35:H36"/>
    <mergeCell ref="I35:I36"/>
    <mergeCell ref="B4:G4"/>
    <mergeCell ref="B18:G18"/>
    <mergeCell ref="B53:E53"/>
    <mergeCell ref="D71:D7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AQ132"/>
  <sheetViews>
    <sheetView showGridLines="0" zoomScale="75" zoomScaleNormal="75" workbookViewId="0">
      <pane ySplit="8" topLeftCell="A9" activePane="bottomLeft" state="frozen"/>
      <selection pane="bottomLeft" activeCell="A31" sqref="A31:XFD31"/>
    </sheetView>
  </sheetViews>
  <sheetFormatPr baseColWidth="10" defaultColWidth="11.42578125" defaultRowHeight="15" x14ac:dyDescent="0.25"/>
  <cols>
    <col min="1" max="1" width="4.5703125" style="1" bestFit="1" customWidth="1"/>
    <col min="2" max="2" width="8.85546875" style="1" bestFit="1" customWidth="1"/>
    <col min="3" max="3" width="10.85546875" style="1" bestFit="1" customWidth="1"/>
    <col min="4" max="4" width="12.140625" style="1" bestFit="1" customWidth="1"/>
    <col min="5" max="5" width="45.140625" style="1" bestFit="1" customWidth="1"/>
    <col min="6" max="6" width="5.7109375" style="1" bestFit="1" customWidth="1"/>
    <col min="7" max="7" width="13.28515625" style="1" bestFit="1" customWidth="1"/>
    <col min="8" max="8" width="17.42578125" style="1" bestFit="1" customWidth="1"/>
    <col min="9" max="9" width="19" style="1" bestFit="1" customWidth="1"/>
    <col min="10" max="10" width="14.85546875" style="1" bestFit="1" customWidth="1"/>
    <col min="11" max="11" width="13.7109375" style="38" bestFit="1" customWidth="1"/>
    <col min="12" max="14" width="12" style="38" bestFit="1" customWidth="1"/>
    <col min="15" max="15" width="17.7109375" style="38" bestFit="1" customWidth="1"/>
    <col min="16" max="16" width="19.5703125" style="38" bestFit="1" customWidth="1"/>
    <col min="17" max="17" width="15" style="38" bestFit="1" customWidth="1"/>
    <col min="18" max="18" width="10.42578125" style="38" bestFit="1" customWidth="1"/>
    <col min="19" max="19" width="12.28515625" style="38" bestFit="1" customWidth="1"/>
    <col min="20" max="20" width="25.28515625" style="38" bestFit="1" customWidth="1"/>
    <col min="21" max="21" width="28.5703125" style="38" bestFit="1" customWidth="1"/>
    <col min="22" max="22" width="30.42578125" style="38" bestFit="1" customWidth="1"/>
    <col min="23" max="23" width="27" style="38" bestFit="1" customWidth="1"/>
    <col min="24" max="24" width="17.28515625" style="38" bestFit="1" customWidth="1"/>
    <col min="25" max="25" width="21.7109375" style="1" bestFit="1" customWidth="1"/>
    <col min="26" max="26" width="22.28515625" style="1" bestFit="1" customWidth="1"/>
    <col min="27" max="27" width="30.5703125" style="1" bestFit="1" customWidth="1"/>
    <col min="28" max="28" width="32.140625" style="1" bestFit="1" customWidth="1"/>
    <col min="29" max="29" width="28.7109375" style="1" bestFit="1" customWidth="1"/>
    <col min="30" max="30" width="29.42578125" style="1" bestFit="1" customWidth="1"/>
    <col min="31" max="31" width="21.7109375" style="1" bestFit="1" customWidth="1"/>
    <col min="32" max="32" width="24.5703125" style="1" bestFit="1" customWidth="1"/>
    <col min="33" max="33" width="26.5703125" style="1" bestFit="1" customWidth="1"/>
    <col min="34" max="34" width="20" style="1" bestFit="1" customWidth="1"/>
    <col min="35" max="35" width="19.7109375" style="1" bestFit="1" customWidth="1"/>
    <col min="36" max="36" width="33.28515625" style="1" bestFit="1" customWidth="1"/>
    <col min="37" max="37" width="37.7109375" style="1" bestFit="1" customWidth="1"/>
    <col min="38" max="38" width="15.5703125" style="1" bestFit="1" customWidth="1"/>
    <col min="39" max="39" width="15.42578125" style="1" bestFit="1" customWidth="1"/>
    <col min="40" max="40" width="31.140625" style="1" bestFit="1" customWidth="1"/>
    <col min="41" max="41" width="16.140625" style="1" bestFit="1" customWidth="1"/>
    <col min="42" max="42" width="14.85546875" style="1" bestFit="1" customWidth="1"/>
    <col min="43" max="43" width="14.28515625" style="1" bestFit="1" customWidth="1"/>
    <col min="44" max="16384" width="11.42578125" style="1"/>
  </cols>
  <sheetData>
    <row r="6" spans="1:43" x14ac:dyDescent="0.25">
      <c r="H6" s="59" t="s">
        <v>250</v>
      </c>
      <c r="I6" s="59"/>
      <c r="J6" s="59"/>
      <c r="K6" s="76">
        <f>SUM(K9:K31)</f>
        <v>0</v>
      </c>
      <c r="L6" s="76">
        <f>SUM(L9:L31)</f>
        <v>3496012</v>
      </c>
      <c r="M6" s="76">
        <f t="shared" ref="M6" si="0">SUM(M9:M31)</f>
        <v>664244</v>
      </c>
      <c r="N6" s="76">
        <f>SUM(N9:N31)</f>
        <v>4160256</v>
      </c>
    </row>
    <row r="8" spans="1:43" x14ac:dyDescent="0.25">
      <c r="A8" s="82" t="s">
        <v>303</v>
      </c>
      <c r="B8" s="82" t="s">
        <v>304</v>
      </c>
      <c r="C8" s="82" t="s">
        <v>305</v>
      </c>
      <c r="D8" s="82" t="s">
        <v>306</v>
      </c>
      <c r="E8" s="82" t="s">
        <v>307</v>
      </c>
      <c r="F8" s="82" t="s">
        <v>308</v>
      </c>
      <c r="G8" s="82" t="s">
        <v>309</v>
      </c>
      <c r="H8" s="82" t="s">
        <v>310</v>
      </c>
      <c r="I8" s="82" t="s">
        <v>311</v>
      </c>
      <c r="J8" s="82" t="s">
        <v>312</v>
      </c>
      <c r="K8" s="83" t="s">
        <v>241</v>
      </c>
      <c r="L8" s="83" t="s">
        <v>34</v>
      </c>
      <c r="M8" s="83" t="s">
        <v>252</v>
      </c>
      <c r="N8" s="83" t="s">
        <v>313</v>
      </c>
      <c r="O8" s="83" t="s">
        <v>314</v>
      </c>
      <c r="P8" s="83" t="s">
        <v>315</v>
      </c>
      <c r="Q8" s="83" t="s">
        <v>316</v>
      </c>
      <c r="R8" s="83" t="s">
        <v>317</v>
      </c>
      <c r="S8" s="83" t="s">
        <v>318</v>
      </c>
      <c r="T8" s="83" t="s">
        <v>319</v>
      </c>
      <c r="U8" s="83" t="s">
        <v>320</v>
      </c>
      <c r="V8" s="83" t="s">
        <v>321</v>
      </c>
      <c r="W8" s="83" t="s">
        <v>322</v>
      </c>
      <c r="X8" s="83" t="s">
        <v>323</v>
      </c>
      <c r="Y8" s="82" t="s">
        <v>324</v>
      </c>
      <c r="Z8" s="82" t="s">
        <v>325</v>
      </c>
      <c r="AA8" s="82" t="s">
        <v>326</v>
      </c>
      <c r="AB8" s="82" t="s">
        <v>327</v>
      </c>
      <c r="AC8" s="82" t="s">
        <v>328</v>
      </c>
      <c r="AD8" s="82" t="s">
        <v>329</v>
      </c>
      <c r="AE8" s="82" t="s">
        <v>330</v>
      </c>
      <c r="AF8" s="82" t="s">
        <v>331</v>
      </c>
      <c r="AG8" s="82" t="s">
        <v>332</v>
      </c>
      <c r="AH8" s="82" t="s">
        <v>333</v>
      </c>
      <c r="AI8" s="82" t="s">
        <v>334</v>
      </c>
      <c r="AJ8" s="82" t="s">
        <v>335</v>
      </c>
      <c r="AK8" s="82" t="s">
        <v>336</v>
      </c>
      <c r="AL8" s="82" t="s">
        <v>337</v>
      </c>
      <c r="AM8" s="82" t="s">
        <v>338</v>
      </c>
      <c r="AN8" s="82" t="s">
        <v>339</v>
      </c>
      <c r="AO8" s="82" t="s">
        <v>340</v>
      </c>
      <c r="AP8" s="82" t="s">
        <v>341</v>
      </c>
      <c r="AQ8" s="82" t="s">
        <v>342</v>
      </c>
    </row>
    <row r="9" spans="1:43" x14ac:dyDescent="0.25">
      <c r="A9" s="1">
        <v>1</v>
      </c>
      <c r="B9" s="1">
        <v>33</v>
      </c>
      <c r="C9" s="1" t="s">
        <v>247</v>
      </c>
      <c r="D9" s="1" t="s">
        <v>984</v>
      </c>
      <c r="E9" s="1" t="s">
        <v>985</v>
      </c>
      <c r="F9" s="1">
        <v>470</v>
      </c>
      <c r="G9" s="36">
        <v>45474</v>
      </c>
      <c r="H9" s="37">
        <v>45474.490277777775</v>
      </c>
      <c r="I9" s="37"/>
      <c r="K9" s="38">
        <v>0</v>
      </c>
      <c r="L9" s="38">
        <v>37300</v>
      </c>
      <c r="M9" s="38">
        <v>7087</v>
      </c>
      <c r="N9" s="38">
        <v>44387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 t="s">
        <v>51</v>
      </c>
      <c r="U9" s="38">
        <v>0</v>
      </c>
      <c r="V9" s="38">
        <v>0</v>
      </c>
      <c r="W9" s="38">
        <v>0</v>
      </c>
      <c r="X9" s="38">
        <v>0</v>
      </c>
      <c r="Y9" s="1">
        <v>0</v>
      </c>
      <c r="AC9" s="1">
        <v>0</v>
      </c>
      <c r="AE9" s="1">
        <v>0</v>
      </c>
      <c r="AF9" s="1">
        <v>2</v>
      </c>
      <c r="AG9" s="1">
        <v>0</v>
      </c>
      <c r="AH9" s="1">
        <v>0</v>
      </c>
      <c r="AI9" s="1">
        <v>0</v>
      </c>
      <c r="AM9" s="1">
        <v>0</v>
      </c>
    </row>
    <row r="10" spans="1:43" x14ac:dyDescent="0.25">
      <c r="A10" s="1">
        <v>2</v>
      </c>
      <c r="B10" s="1">
        <v>33</v>
      </c>
      <c r="C10" s="1" t="s">
        <v>247</v>
      </c>
      <c r="D10" s="1" t="s">
        <v>984</v>
      </c>
      <c r="E10" s="1" t="s">
        <v>985</v>
      </c>
      <c r="F10" s="1">
        <v>471</v>
      </c>
      <c r="G10" s="36">
        <v>45474</v>
      </c>
      <c r="H10" s="37">
        <v>45474.6875</v>
      </c>
      <c r="I10" s="37"/>
      <c r="K10" s="38">
        <v>0</v>
      </c>
      <c r="L10" s="38">
        <v>168067</v>
      </c>
      <c r="M10" s="38">
        <v>31933</v>
      </c>
      <c r="N10" s="38">
        <v>200000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 t="s">
        <v>51</v>
      </c>
      <c r="U10" s="38">
        <v>0</v>
      </c>
      <c r="V10" s="38">
        <v>0</v>
      </c>
      <c r="W10" s="38">
        <v>0</v>
      </c>
      <c r="X10" s="38">
        <v>0</v>
      </c>
      <c r="Y10" s="1">
        <v>0</v>
      </c>
      <c r="AC10" s="1">
        <v>0</v>
      </c>
      <c r="AE10" s="1">
        <v>0</v>
      </c>
      <c r="AF10" s="1">
        <v>1</v>
      </c>
      <c r="AG10" s="1">
        <v>0</v>
      </c>
      <c r="AH10" s="1">
        <v>0</v>
      </c>
      <c r="AI10" s="1">
        <v>0</v>
      </c>
      <c r="AM10" s="1">
        <v>0</v>
      </c>
    </row>
    <row r="11" spans="1:43" x14ac:dyDescent="0.25">
      <c r="A11" s="1">
        <v>3</v>
      </c>
      <c r="B11" s="1">
        <v>33</v>
      </c>
      <c r="C11" s="1" t="s">
        <v>247</v>
      </c>
      <c r="D11" s="1" t="s">
        <v>984</v>
      </c>
      <c r="E11" s="1" t="s">
        <v>985</v>
      </c>
      <c r="F11" s="1">
        <v>472</v>
      </c>
      <c r="G11" s="36">
        <v>45475</v>
      </c>
      <c r="H11" s="37">
        <v>45475.873611111114</v>
      </c>
      <c r="I11" s="37"/>
      <c r="K11" s="38">
        <v>0</v>
      </c>
      <c r="L11" s="38">
        <v>48320</v>
      </c>
      <c r="M11" s="38">
        <v>9181</v>
      </c>
      <c r="N11" s="38">
        <v>57501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 t="s">
        <v>51</v>
      </c>
      <c r="U11" s="38">
        <v>0</v>
      </c>
      <c r="V11" s="38">
        <v>0</v>
      </c>
      <c r="W11" s="38">
        <v>0</v>
      </c>
      <c r="X11" s="38">
        <v>0</v>
      </c>
      <c r="Y11" s="1">
        <v>0</v>
      </c>
      <c r="AC11" s="1">
        <v>0</v>
      </c>
      <c r="AE11" s="1">
        <v>0</v>
      </c>
      <c r="AF11" s="1">
        <v>2</v>
      </c>
      <c r="AG11" s="1">
        <v>0</v>
      </c>
      <c r="AH11" s="1">
        <v>0</v>
      </c>
      <c r="AI11" s="1">
        <v>0</v>
      </c>
      <c r="AM11" s="1">
        <v>0</v>
      </c>
    </row>
    <row r="12" spans="1:43" x14ac:dyDescent="0.25">
      <c r="A12" s="1">
        <v>4</v>
      </c>
      <c r="B12" s="1">
        <v>33</v>
      </c>
      <c r="C12" s="1" t="s">
        <v>247</v>
      </c>
      <c r="D12" s="1" t="s">
        <v>984</v>
      </c>
      <c r="E12" s="1" t="s">
        <v>985</v>
      </c>
      <c r="F12" s="1">
        <v>473</v>
      </c>
      <c r="G12" s="36">
        <v>45477</v>
      </c>
      <c r="H12" s="37">
        <v>45477.871527777781</v>
      </c>
      <c r="I12" s="37"/>
      <c r="K12" s="38">
        <v>0</v>
      </c>
      <c r="L12" s="38">
        <v>386232</v>
      </c>
      <c r="M12" s="38">
        <v>73384</v>
      </c>
      <c r="N12" s="38">
        <v>459616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 t="s">
        <v>51</v>
      </c>
      <c r="U12" s="38">
        <v>0</v>
      </c>
      <c r="V12" s="38">
        <v>0</v>
      </c>
      <c r="W12" s="38">
        <v>0</v>
      </c>
      <c r="X12" s="38">
        <v>0</v>
      </c>
      <c r="Y12" s="1">
        <v>0</v>
      </c>
      <c r="AC12" s="1">
        <v>0</v>
      </c>
      <c r="AE12" s="1">
        <v>0</v>
      </c>
      <c r="AF12" s="1">
        <v>2</v>
      </c>
      <c r="AG12" s="1">
        <v>0</v>
      </c>
      <c r="AH12" s="1">
        <v>0</v>
      </c>
      <c r="AI12" s="1">
        <v>0</v>
      </c>
      <c r="AM12" s="1">
        <v>0</v>
      </c>
    </row>
    <row r="13" spans="1:43" x14ac:dyDescent="0.25">
      <c r="A13" s="1">
        <v>5</v>
      </c>
      <c r="B13" s="1">
        <v>33</v>
      </c>
      <c r="C13" s="1" t="s">
        <v>247</v>
      </c>
      <c r="D13" s="1" t="s">
        <v>984</v>
      </c>
      <c r="E13" s="1" t="s">
        <v>985</v>
      </c>
      <c r="F13" s="1">
        <v>474</v>
      </c>
      <c r="G13" s="36">
        <v>45478</v>
      </c>
      <c r="H13" s="37">
        <v>45478.513194444444</v>
      </c>
      <c r="I13" s="37"/>
      <c r="K13" s="38">
        <v>0</v>
      </c>
      <c r="L13" s="38">
        <v>37300</v>
      </c>
      <c r="M13" s="38">
        <v>7087</v>
      </c>
      <c r="N13" s="38">
        <v>44387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 t="s">
        <v>51</v>
      </c>
      <c r="U13" s="38">
        <v>0</v>
      </c>
      <c r="V13" s="38">
        <v>0</v>
      </c>
      <c r="W13" s="38">
        <v>0</v>
      </c>
      <c r="X13" s="38">
        <v>0</v>
      </c>
      <c r="Y13" s="1">
        <v>0</v>
      </c>
      <c r="AC13" s="1">
        <v>0</v>
      </c>
      <c r="AE13" s="1">
        <v>0</v>
      </c>
      <c r="AF13" s="1">
        <v>2</v>
      </c>
      <c r="AG13" s="1">
        <v>0</v>
      </c>
      <c r="AH13" s="1">
        <v>0</v>
      </c>
      <c r="AI13" s="1">
        <v>0</v>
      </c>
      <c r="AM13" s="1">
        <v>0</v>
      </c>
    </row>
    <row r="14" spans="1:43" x14ac:dyDescent="0.25">
      <c r="A14" s="1">
        <v>6</v>
      </c>
      <c r="B14" s="1">
        <v>33</v>
      </c>
      <c r="C14" s="1" t="s">
        <v>247</v>
      </c>
      <c r="D14" s="1" t="s">
        <v>984</v>
      </c>
      <c r="E14" s="1" t="s">
        <v>985</v>
      </c>
      <c r="F14" s="1">
        <v>475</v>
      </c>
      <c r="G14" s="36">
        <v>45482</v>
      </c>
      <c r="H14" s="37">
        <v>45482.695138888892</v>
      </c>
      <c r="I14" s="37"/>
      <c r="K14" s="38">
        <v>0</v>
      </c>
      <c r="L14" s="38">
        <v>137700</v>
      </c>
      <c r="M14" s="38">
        <v>26163</v>
      </c>
      <c r="N14" s="38">
        <v>163863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 t="s">
        <v>51</v>
      </c>
      <c r="U14" s="38">
        <v>0</v>
      </c>
      <c r="V14" s="38">
        <v>0</v>
      </c>
      <c r="W14" s="38">
        <v>0</v>
      </c>
      <c r="X14" s="38">
        <v>0</v>
      </c>
      <c r="Y14" s="1">
        <v>0</v>
      </c>
      <c r="AC14" s="1">
        <v>0</v>
      </c>
      <c r="AE14" s="1">
        <v>0</v>
      </c>
      <c r="AF14" s="1">
        <v>2</v>
      </c>
      <c r="AG14" s="1">
        <v>0</v>
      </c>
      <c r="AH14" s="1">
        <v>0</v>
      </c>
      <c r="AI14" s="1">
        <v>0</v>
      </c>
      <c r="AM14" s="1">
        <v>0</v>
      </c>
    </row>
    <row r="15" spans="1:43" x14ac:dyDescent="0.25">
      <c r="A15" s="1">
        <v>7</v>
      </c>
      <c r="B15" s="1">
        <v>33</v>
      </c>
      <c r="C15" s="1" t="s">
        <v>247</v>
      </c>
      <c r="D15" s="1" t="s">
        <v>984</v>
      </c>
      <c r="E15" s="1" t="s">
        <v>985</v>
      </c>
      <c r="F15" s="1">
        <v>476</v>
      </c>
      <c r="G15" s="36">
        <v>45484</v>
      </c>
      <c r="H15" s="37">
        <v>45484.722916666666</v>
      </c>
      <c r="I15" s="37"/>
      <c r="K15" s="38">
        <v>0</v>
      </c>
      <c r="L15" s="38">
        <v>184803</v>
      </c>
      <c r="M15" s="38">
        <v>35113</v>
      </c>
      <c r="N15" s="38">
        <v>219916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 t="s">
        <v>51</v>
      </c>
      <c r="U15" s="38">
        <v>0</v>
      </c>
      <c r="V15" s="38">
        <v>0</v>
      </c>
      <c r="W15" s="38">
        <v>0</v>
      </c>
      <c r="X15" s="38">
        <v>0</v>
      </c>
      <c r="Y15" s="1">
        <v>0</v>
      </c>
      <c r="AC15" s="1">
        <v>0</v>
      </c>
      <c r="AE15" s="1">
        <v>0</v>
      </c>
      <c r="AF15" s="1">
        <v>2</v>
      </c>
      <c r="AG15" s="1">
        <v>0</v>
      </c>
      <c r="AH15" s="1">
        <v>0</v>
      </c>
      <c r="AI15" s="1">
        <v>0</v>
      </c>
      <c r="AM15" s="1">
        <v>0</v>
      </c>
    </row>
    <row r="16" spans="1:43" x14ac:dyDescent="0.25">
      <c r="A16" s="1">
        <v>8</v>
      </c>
      <c r="B16" s="1">
        <v>33</v>
      </c>
      <c r="C16" s="1" t="s">
        <v>247</v>
      </c>
      <c r="D16" s="1" t="s">
        <v>984</v>
      </c>
      <c r="E16" s="1" t="s">
        <v>985</v>
      </c>
      <c r="F16" s="1">
        <v>477</v>
      </c>
      <c r="G16" s="36">
        <v>45485</v>
      </c>
      <c r="H16" s="37">
        <v>45485.788888888892</v>
      </c>
      <c r="I16" s="37"/>
      <c r="K16" s="38">
        <v>0</v>
      </c>
      <c r="L16" s="38">
        <v>37300</v>
      </c>
      <c r="M16" s="38">
        <v>7087</v>
      </c>
      <c r="N16" s="38">
        <v>44387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 t="s">
        <v>51</v>
      </c>
      <c r="U16" s="38">
        <v>0</v>
      </c>
      <c r="V16" s="38">
        <v>0</v>
      </c>
      <c r="W16" s="38">
        <v>0</v>
      </c>
      <c r="X16" s="38">
        <v>0</v>
      </c>
      <c r="Y16" s="1">
        <v>0</v>
      </c>
      <c r="AC16" s="1">
        <v>0</v>
      </c>
      <c r="AE16" s="1">
        <v>0</v>
      </c>
      <c r="AF16" s="1">
        <v>2</v>
      </c>
      <c r="AG16" s="1">
        <v>0</v>
      </c>
      <c r="AH16" s="1">
        <v>0</v>
      </c>
      <c r="AI16" s="1">
        <v>0</v>
      </c>
      <c r="AM16" s="1">
        <v>0</v>
      </c>
    </row>
    <row r="17" spans="1:39" x14ac:dyDescent="0.25">
      <c r="A17" s="1">
        <v>9</v>
      </c>
      <c r="B17" s="1">
        <v>33</v>
      </c>
      <c r="C17" s="1" t="s">
        <v>247</v>
      </c>
      <c r="D17" s="1" t="s">
        <v>984</v>
      </c>
      <c r="E17" s="1" t="s">
        <v>985</v>
      </c>
      <c r="F17" s="1">
        <v>478</v>
      </c>
      <c r="G17" s="36">
        <v>45485</v>
      </c>
      <c r="H17" s="37">
        <v>45485.826388888891</v>
      </c>
      <c r="I17" s="37"/>
      <c r="K17" s="38">
        <v>0</v>
      </c>
      <c r="L17" s="38">
        <v>41030</v>
      </c>
      <c r="M17" s="38">
        <v>7796</v>
      </c>
      <c r="N17" s="38">
        <v>48826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 t="s">
        <v>51</v>
      </c>
      <c r="U17" s="38">
        <v>0</v>
      </c>
      <c r="V17" s="38">
        <v>0</v>
      </c>
      <c r="W17" s="38">
        <v>0</v>
      </c>
      <c r="X17" s="38">
        <v>0</v>
      </c>
      <c r="Y17" s="1">
        <v>0</v>
      </c>
      <c r="AC17" s="1">
        <v>0</v>
      </c>
      <c r="AE17" s="1">
        <v>0</v>
      </c>
      <c r="AF17" s="1">
        <v>2</v>
      </c>
      <c r="AG17" s="1">
        <v>0</v>
      </c>
      <c r="AH17" s="1">
        <v>0</v>
      </c>
      <c r="AI17" s="1">
        <v>0</v>
      </c>
      <c r="AM17" s="1">
        <v>0</v>
      </c>
    </row>
    <row r="18" spans="1:39" x14ac:dyDescent="0.25">
      <c r="A18" s="1">
        <v>10</v>
      </c>
      <c r="B18" s="1">
        <v>33</v>
      </c>
      <c r="C18" s="1" t="s">
        <v>247</v>
      </c>
      <c r="D18" s="1" t="s">
        <v>984</v>
      </c>
      <c r="E18" s="1" t="s">
        <v>985</v>
      </c>
      <c r="F18" s="1">
        <v>479</v>
      </c>
      <c r="G18" s="36">
        <v>45485</v>
      </c>
      <c r="H18" s="37">
        <v>45485.861111111109</v>
      </c>
      <c r="I18" s="37"/>
      <c r="K18" s="38">
        <v>0</v>
      </c>
      <c r="L18" s="38">
        <v>180773</v>
      </c>
      <c r="M18" s="38">
        <v>34347</v>
      </c>
      <c r="N18" s="38">
        <v>215120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 t="s">
        <v>51</v>
      </c>
      <c r="U18" s="38">
        <v>0</v>
      </c>
      <c r="V18" s="38">
        <v>0</v>
      </c>
      <c r="W18" s="38">
        <v>0</v>
      </c>
      <c r="X18" s="38">
        <v>0</v>
      </c>
      <c r="AC18" s="1">
        <v>0</v>
      </c>
      <c r="AE18" s="1">
        <v>0</v>
      </c>
      <c r="AF18" s="1">
        <v>1</v>
      </c>
      <c r="AG18" s="1">
        <v>0</v>
      </c>
      <c r="AH18" s="1">
        <v>0</v>
      </c>
      <c r="AI18" s="1">
        <v>0</v>
      </c>
      <c r="AM18" s="1">
        <v>0</v>
      </c>
    </row>
    <row r="19" spans="1:39" x14ac:dyDescent="0.25">
      <c r="A19" s="1">
        <v>11</v>
      </c>
      <c r="B19" s="1">
        <v>33</v>
      </c>
      <c r="C19" s="1" t="s">
        <v>247</v>
      </c>
      <c r="D19" s="1" t="s">
        <v>984</v>
      </c>
      <c r="E19" s="1" t="s">
        <v>985</v>
      </c>
      <c r="F19" s="1">
        <v>480</v>
      </c>
      <c r="G19" s="36">
        <v>45485</v>
      </c>
      <c r="H19" s="37">
        <v>45485.861805555556</v>
      </c>
      <c r="I19" s="37"/>
      <c r="K19" s="38">
        <v>0</v>
      </c>
      <c r="L19" s="38">
        <v>173952</v>
      </c>
      <c r="M19" s="38">
        <v>33051</v>
      </c>
      <c r="N19" s="38">
        <v>207003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 t="s">
        <v>51</v>
      </c>
      <c r="U19" s="38">
        <v>0</v>
      </c>
      <c r="V19" s="38">
        <v>0</v>
      </c>
      <c r="W19" s="38">
        <v>0</v>
      </c>
      <c r="X19" s="38">
        <v>0</v>
      </c>
      <c r="Y19" s="1">
        <v>0</v>
      </c>
      <c r="AC19" s="1">
        <v>0</v>
      </c>
      <c r="AE19" s="1">
        <v>0</v>
      </c>
      <c r="AF19" s="1">
        <v>1</v>
      </c>
      <c r="AG19" s="1">
        <v>0</v>
      </c>
      <c r="AH19" s="1">
        <v>0</v>
      </c>
      <c r="AI19" s="1">
        <v>0</v>
      </c>
      <c r="AM19" s="1">
        <v>0</v>
      </c>
    </row>
    <row r="20" spans="1:39" x14ac:dyDescent="0.25">
      <c r="A20" s="1">
        <v>12</v>
      </c>
      <c r="B20" s="1">
        <v>33</v>
      </c>
      <c r="C20" s="1" t="s">
        <v>247</v>
      </c>
      <c r="D20" s="1" t="s">
        <v>984</v>
      </c>
      <c r="E20" s="1" t="s">
        <v>985</v>
      </c>
      <c r="F20" s="1">
        <v>481</v>
      </c>
      <c r="G20" s="36">
        <v>45490</v>
      </c>
      <c r="H20" s="37">
        <v>45490.541666666664</v>
      </c>
      <c r="I20" s="37"/>
      <c r="K20" s="38">
        <v>0</v>
      </c>
      <c r="L20" s="38">
        <v>168067</v>
      </c>
      <c r="M20" s="38">
        <v>31933</v>
      </c>
      <c r="N20" s="38">
        <v>200000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 t="s">
        <v>51</v>
      </c>
      <c r="U20" s="38">
        <v>0</v>
      </c>
      <c r="V20" s="38">
        <v>0</v>
      </c>
      <c r="W20" s="38">
        <v>0</v>
      </c>
      <c r="X20" s="38">
        <v>0</v>
      </c>
      <c r="Y20" s="1">
        <v>0</v>
      </c>
      <c r="AC20" s="1">
        <v>0</v>
      </c>
      <c r="AE20" s="1">
        <v>0</v>
      </c>
      <c r="AF20" s="1">
        <v>1</v>
      </c>
      <c r="AG20" s="1">
        <v>0</v>
      </c>
      <c r="AH20" s="1">
        <v>0</v>
      </c>
      <c r="AI20" s="1">
        <v>0</v>
      </c>
      <c r="AM20" s="1">
        <v>0</v>
      </c>
    </row>
    <row r="21" spans="1:39" x14ac:dyDescent="0.25">
      <c r="A21" s="1">
        <v>13</v>
      </c>
      <c r="B21" s="1">
        <v>33</v>
      </c>
      <c r="C21" s="1" t="s">
        <v>247</v>
      </c>
      <c r="D21" s="1" t="s">
        <v>984</v>
      </c>
      <c r="E21" s="1" t="s">
        <v>985</v>
      </c>
      <c r="F21" s="1">
        <v>482</v>
      </c>
      <c r="G21" s="36">
        <v>45495</v>
      </c>
      <c r="H21" s="37">
        <v>45495.688888888886</v>
      </c>
      <c r="I21" s="37"/>
      <c r="K21" s="38">
        <v>0</v>
      </c>
      <c r="L21" s="38">
        <v>91800</v>
      </c>
      <c r="M21" s="38">
        <v>17442</v>
      </c>
      <c r="N21" s="38">
        <v>109242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 t="s">
        <v>51</v>
      </c>
      <c r="U21" s="38">
        <v>0</v>
      </c>
      <c r="V21" s="38">
        <v>0</v>
      </c>
      <c r="W21" s="38">
        <v>0</v>
      </c>
      <c r="X21" s="38">
        <v>0</v>
      </c>
      <c r="Y21" s="1">
        <v>0</v>
      </c>
      <c r="AC21" s="1">
        <v>0</v>
      </c>
      <c r="AE21" s="1">
        <v>0</v>
      </c>
      <c r="AF21" s="1">
        <v>2</v>
      </c>
      <c r="AG21" s="1">
        <v>0</v>
      </c>
      <c r="AH21" s="1">
        <v>0</v>
      </c>
      <c r="AI21" s="1">
        <v>0</v>
      </c>
      <c r="AM21" s="1">
        <v>0</v>
      </c>
    </row>
    <row r="22" spans="1:39" x14ac:dyDescent="0.25">
      <c r="A22" s="1">
        <v>14</v>
      </c>
      <c r="B22" s="1">
        <v>33</v>
      </c>
      <c r="C22" s="1" t="s">
        <v>247</v>
      </c>
      <c r="D22" s="1" t="s">
        <v>984</v>
      </c>
      <c r="E22" s="1" t="s">
        <v>985</v>
      </c>
      <c r="F22" s="1">
        <v>483</v>
      </c>
      <c r="G22" s="36">
        <v>45502</v>
      </c>
      <c r="H22" s="37">
        <v>45502.62777777778</v>
      </c>
      <c r="I22" s="37">
        <v>45503.8</v>
      </c>
      <c r="K22" s="38">
        <v>0</v>
      </c>
      <c r="L22" s="38">
        <v>37300</v>
      </c>
      <c r="M22" s="38">
        <v>7087</v>
      </c>
      <c r="N22" s="38">
        <v>44387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 t="s">
        <v>51</v>
      </c>
      <c r="U22" s="38">
        <v>0</v>
      </c>
      <c r="V22" s="38">
        <v>0</v>
      </c>
      <c r="W22" s="38">
        <v>0</v>
      </c>
      <c r="X22" s="38">
        <v>0</v>
      </c>
      <c r="Y22" s="1">
        <v>0</v>
      </c>
      <c r="AC22" s="1">
        <v>0</v>
      </c>
      <c r="AE22" s="1">
        <v>0</v>
      </c>
      <c r="AF22" s="1">
        <v>2</v>
      </c>
      <c r="AG22" s="1">
        <v>0</v>
      </c>
      <c r="AH22" s="1">
        <v>0</v>
      </c>
      <c r="AI22" s="1">
        <v>0</v>
      </c>
      <c r="AM22" s="1">
        <v>0</v>
      </c>
    </row>
    <row r="23" spans="1:39" x14ac:dyDescent="0.25">
      <c r="A23" s="1">
        <v>15</v>
      </c>
      <c r="B23" s="1">
        <v>33</v>
      </c>
      <c r="C23" s="1" t="s">
        <v>247</v>
      </c>
      <c r="D23" s="1" t="s">
        <v>984</v>
      </c>
      <c r="E23" s="1" t="s">
        <v>985</v>
      </c>
      <c r="F23" s="1">
        <v>484</v>
      </c>
      <c r="G23" s="36">
        <v>45504</v>
      </c>
      <c r="H23" s="37">
        <v>45504.63958333333</v>
      </c>
      <c r="I23" s="37">
        <v>45504.723611111112</v>
      </c>
      <c r="K23" s="38">
        <v>0</v>
      </c>
      <c r="L23" s="38">
        <v>62521</v>
      </c>
      <c r="M23" s="38">
        <v>11879</v>
      </c>
      <c r="N23" s="38">
        <v>74400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 t="s">
        <v>51</v>
      </c>
      <c r="U23" s="38">
        <v>0</v>
      </c>
      <c r="V23" s="38">
        <v>0</v>
      </c>
      <c r="W23" s="38">
        <v>0</v>
      </c>
      <c r="X23" s="38">
        <v>0</v>
      </c>
      <c r="Y23" s="1">
        <v>0</v>
      </c>
      <c r="AC23" s="1">
        <v>0</v>
      </c>
      <c r="AE23" s="1">
        <v>0</v>
      </c>
      <c r="AF23" s="1">
        <v>2</v>
      </c>
      <c r="AG23" s="1">
        <v>0</v>
      </c>
      <c r="AH23" s="1">
        <v>0</v>
      </c>
      <c r="AI23" s="1">
        <v>0</v>
      </c>
      <c r="AM23" s="1">
        <v>0</v>
      </c>
    </row>
    <row r="24" spans="1:39" x14ac:dyDescent="0.25">
      <c r="A24" s="1">
        <v>16</v>
      </c>
      <c r="B24" s="1">
        <v>33</v>
      </c>
      <c r="C24" s="1" t="s">
        <v>247</v>
      </c>
      <c r="D24" s="1" t="s">
        <v>984</v>
      </c>
      <c r="E24" s="1" t="s">
        <v>985</v>
      </c>
      <c r="F24" s="1">
        <v>485</v>
      </c>
      <c r="G24" s="36">
        <v>45504</v>
      </c>
      <c r="H24" s="37">
        <v>45504.804166666669</v>
      </c>
      <c r="I24" s="37"/>
      <c r="K24" s="38">
        <v>0</v>
      </c>
      <c r="L24" s="38">
        <v>336135</v>
      </c>
      <c r="M24" s="38">
        <v>63866</v>
      </c>
      <c r="N24" s="38">
        <v>400001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 t="s">
        <v>51</v>
      </c>
      <c r="U24" s="38">
        <v>0</v>
      </c>
      <c r="V24" s="38">
        <v>0</v>
      </c>
      <c r="W24" s="38">
        <v>0</v>
      </c>
      <c r="X24" s="38">
        <v>0</v>
      </c>
      <c r="Y24" s="1">
        <v>0</v>
      </c>
      <c r="AC24" s="1">
        <v>0</v>
      </c>
      <c r="AE24" s="1">
        <v>0</v>
      </c>
      <c r="AF24" s="1">
        <v>1</v>
      </c>
      <c r="AG24" s="1">
        <v>0</v>
      </c>
      <c r="AH24" s="1">
        <v>0</v>
      </c>
      <c r="AI24" s="1">
        <v>0</v>
      </c>
      <c r="AM24" s="1">
        <v>0</v>
      </c>
    </row>
    <row r="25" spans="1:39" x14ac:dyDescent="0.25">
      <c r="A25" s="1">
        <v>17</v>
      </c>
      <c r="B25" s="1">
        <v>33</v>
      </c>
      <c r="C25" s="1" t="s">
        <v>247</v>
      </c>
      <c r="D25" s="1" t="s">
        <v>984</v>
      </c>
      <c r="E25" s="1" t="s">
        <v>985</v>
      </c>
      <c r="F25" s="1">
        <v>486</v>
      </c>
      <c r="G25" s="36">
        <v>45504</v>
      </c>
      <c r="H25" s="37">
        <v>45504.813194444447</v>
      </c>
      <c r="I25" s="37"/>
      <c r="K25" s="38">
        <v>0</v>
      </c>
      <c r="L25" s="38">
        <v>420168</v>
      </c>
      <c r="M25" s="38">
        <v>79832</v>
      </c>
      <c r="N25" s="38">
        <v>500000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 t="s">
        <v>51</v>
      </c>
      <c r="U25" s="38">
        <v>0</v>
      </c>
      <c r="V25" s="38">
        <v>0</v>
      </c>
      <c r="W25" s="38">
        <v>0</v>
      </c>
      <c r="X25" s="38">
        <v>0</v>
      </c>
      <c r="AC25" s="1">
        <v>0</v>
      </c>
      <c r="AE25" s="1">
        <v>0</v>
      </c>
      <c r="AF25" s="1">
        <v>1</v>
      </c>
      <c r="AG25" s="1">
        <v>0</v>
      </c>
      <c r="AH25" s="1">
        <v>0</v>
      </c>
      <c r="AI25" s="1">
        <v>0</v>
      </c>
      <c r="AM25" s="1">
        <v>0</v>
      </c>
    </row>
    <row r="26" spans="1:39" x14ac:dyDescent="0.25">
      <c r="A26" s="1">
        <v>18</v>
      </c>
      <c r="B26" s="1">
        <v>33</v>
      </c>
      <c r="C26" s="1" t="s">
        <v>247</v>
      </c>
      <c r="D26" s="1" t="s">
        <v>984</v>
      </c>
      <c r="E26" s="1" t="s">
        <v>985</v>
      </c>
      <c r="F26" s="1">
        <v>487</v>
      </c>
      <c r="G26" s="36">
        <v>45504</v>
      </c>
      <c r="H26" s="37">
        <v>45504.822916666664</v>
      </c>
      <c r="I26" s="37"/>
      <c r="K26" s="38">
        <v>0</v>
      </c>
      <c r="L26" s="38">
        <v>574244</v>
      </c>
      <c r="M26" s="38">
        <v>109106</v>
      </c>
      <c r="N26" s="38">
        <v>683350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 t="s">
        <v>51</v>
      </c>
      <c r="U26" s="38">
        <v>0</v>
      </c>
      <c r="V26" s="38">
        <v>0</v>
      </c>
      <c r="W26" s="38">
        <v>0</v>
      </c>
      <c r="X26" s="38">
        <v>0</v>
      </c>
      <c r="AC26" s="1">
        <v>0</v>
      </c>
      <c r="AE26" s="1">
        <v>0</v>
      </c>
      <c r="AF26" s="1">
        <v>1</v>
      </c>
      <c r="AG26" s="1">
        <v>0</v>
      </c>
      <c r="AH26" s="1">
        <v>0</v>
      </c>
      <c r="AI26" s="1">
        <v>0</v>
      </c>
      <c r="AM26" s="1">
        <v>0</v>
      </c>
    </row>
    <row r="27" spans="1:39" x14ac:dyDescent="0.25">
      <c r="A27" s="1">
        <v>19</v>
      </c>
      <c r="B27" s="1">
        <v>33</v>
      </c>
      <c r="C27" s="1" t="s">
        <v>247</v>
      </c>
      <c r="D27" s="1" t="s">
        <v>984</v>
      </c>
      <c r="E27" s="1" t="s">
        <v>985</v>
      </c>
      <c r="F27" s="1">
        <v>488</v>
      </c>
      <c r="G27" s="36">
        <v>45504</v>
      </c>
      <c r="H27" s="37">
        <v>45504.834722222222</v>
      </c>
      <c r="I27" s="37"/>
      <c r="K27" s="38">
        <v>0</v>
      </c>
      <c r="L27" s="38">
        <v>149200</v>
      </c>
      <c r="M27" s="38">
        <v>28348</v>
      </c>
      <c r="N27" s="38">
        <v>177548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 t="s">
        <v>51</v>
      </c>
      <c r="U27" s="38">
        <v>0</v>
      </c>
      <c r="V27" s="38">
        <v>0</v>
      </c>
      <c r="W27" s="38">
        <v>0</v>
      </c>
      <c r="X27" s="38">
        <v>0</v>
      </c>
      <c r="AC27" s="1">
        <v>0</v>
      </c>
      <c r="AE27" s="1">
        <v>0</v>
      </c>
      <c r="AF27" s="1">
        <v>1</v>
      </c>
      <c r="AG27" s="1">
        <v>0</v>
      </c>
      <c r="AH27" s="1">
        <v>0</v>
      </c>
      <c r="AI27" s="1">
        <v>0</v>
      </c>
      <c r="AM27" s="1">
        <v>0</v>
      </c>
    </row>
    <row r="28" spans="1:39" x14ac:dyDescent="0.25">
      <c r="A28" s="1">
        <v>20</v>
      </c>
      <c r="B28" s="1">
        <v>33</v>
      </c>
      <c r="C28" s="1" t="s">
        <v>247</v>
      </c>
      <c r="D28" s="1" t="s">
        <v>984</v>
      </c>
      <c r="E28" s="1" t="s">
        <v>985</v>
      </c>
      <c r="F28" s="1">
        <v>489</v>
      </c>
      <c r="G28" s="36">
        <v>45504</v>
      </c>
      <c r="H28" s="37">
        <v>45504.838194444441</v>
      </c>
      <c r="I28" s="37"/>
      <c r="K28" s="38">
        <v>0</v>
      </c>
      <c r="L28" s="38">
        <v>223800</v>
      </c>
      <c r="M28" s="38">
        <v>42522</v>
      </c>
      <c r="N28" s="38">
        <v>266322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 t="s">
        <v>51</v>
      </c>
      <c r="U28" s="38">
        <v>0</v>
      </c>
      <c r="V28" s="38">
        <v>0</v>
      </c>
      <c r="W28" s="38">
        <v>0</v>
      </c>
      <c r="X28" s="38">
        <v>0</v>
      </c>
      <c r="AC28" s="1">
        <v>0</v>
      </c>
      <c r="AE28" s="1">
        <v>0</v>
      </c>
      <c r="AF28" s="1">
        <v>1</v>
      </c>
      <c r="AG28" s="1">
        <v>0</v>
      </c>
      <c r="AH28" s="1">
        <v>0</v>
      </c>
      <c r="AI28" s="1">
        <v>0</v>
      </c>
      <c r="AM28" s="1">
        <v>0</v>
      </c>
    </row>
    <row r="29" spans="1:39" x14ac:dyDescent="0.25">
      <c r="A29" s="1">
        <v>21</v>
      </c>
      <c r="B29" s="1">
        <v>33</v>
      </c>
      <c r="C29" s="1" t="s">
        <v>247</v>
      </c>
      <c r="D29" s="1" t="s">
        <v>984</v>
      </c>
      <c r="E29" s="1" t="s">
        <v>985</v>
      </c>
      <c r="F29" s="1">
        <v>498</v>
      </c>
      <c r="G29" s="36">
        <v>45511</v>
      </c>
      <c r="H29" s="37">
        <v>45511.713888888888</v>
      </c>
      <c r="I29" s="37"/>
      <c r="K29" s="38">
        <v>0</v>
      </c>
      <c r="L29" s="38">
        <v>127228</v>
      </c>
      <c r="M29" s="38">
        <v>24173</v>
      </c>
      <c r="N29" s="38">
        <v>151401</v>
      </c>
    </row>
    <row r="30" spans="1:39" x14ac:dyDescent="0.25">
      <c r="A30" s="1">
        <v>22</v>
      </c>
      <c r="B30" s="1">
        <v>61</v>
      </c>
      <c r="C30" s="1" t="s">
        <v>247</v>
      </c>
      <c r="D30" s="1" t="s">
        <v>984</v>
      </c>
      <c r="E30" s="1" t="s">
        <v>985</v>
      </c>
      <c r="F30" s="1">
        <v>14</v>
      </c>
      <c r="G30" s="36">
        <v>45525</v>
      </c>
      <c r="H30" s="37">
        <v>45525.394444444442</v>
      </c>
      <c r="I30" s="37"/>
      <c r="K30" s="38">
        <v>0</v>
      </c>
      <c r="L30" s="38">
        <v>-127228</v>
      </c>
      <c r="M30" s="38">
        <v>-24173</v>
      </c>
      <c r="N30" s="38">
        <v>-151401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 t="s">
        <v>51</v>
      </c>
      <c r="U30" s="38">
        <v>0</v>
      </c>
      <c r="V30" s="38">
        <v>0</v>
      </c>
      <c r="W30" s="38">
        <v>0</v>
      </c>
      <c r="X30" s="38">
        <v>0</v>
      </c>
      <c r="Y30" s="1">
        <v>33</v>
      </c>
      <c r="Z30" s="1">
        <v>498</v>
      </c>
      <c r="AC30" s="1">
        <v>0</v>
      </c>
      <c r="AE30" s="1">
        <v>0</v>
      </c>
      <c r="AF30" s="1">
        <v>2</v>
      </c>
      <c r="AG30" s="1">
        <v>0</v>
      </c>
      <c r="AH30" s="1">
        <v>0</v>
      </c>
      <c r="AI30" s="1">
        <v>0</v>
      </c>
      <c r="AM30" s="1">
        <v>0</v>
      </c>
    </row>
    <row r="31" spans="1:39" x14ac:dyDescent="0.25">
      <c r="G31" s="36"/>
      <c r="H31" s="37"/>
      <c r="I31" s="37"/>
    </row>
    <row r="35" spans="4:19" x14ac:dyDescent="0.25">
      <c r="N35" s="76">
        <f>+M36+N36</f>
        <v>176050</v>
      </c>
      <c r="O35" s="76">
        <f>+O36-N35</f>
        <v>3767900</v>
      </c>
    </row>
    <row r="36" spans="4:19" x14ac:dyDescent="0.25">
      <c r="E36" s="108" t="s">
        <v>250</v>
      </c>
      <c r="F36" s="107">
        <f>SUM(F39:F44)</f>
        <v>303</v>
      </c>
      <c r="G36" s="107">
        <f>SUM(G39:G1048576)</f>
        <v>5103800</v>
      </c>
      <c r="H36" s="107">
        <f>SUM(H39:H1048576)</f>
        <v>4223870</v>
      </c>
      <c r="I36" s="107">
        <f>SUM(I39:I1048576)</f>
        <v>754191</v>
      </c>
      <c r="J36" s="107">
        <f>SUM(J39:J1048576)</f>
        <v>9827406</v>
      </c>
      <c r="L36" s="108" t="s">
        <v>250</v>
      </c>
      <c r="M36" s="107">
        <f>SUM(M39:M1048576)</f>
        <v>147942</v>
      </c>
      <c r="N36" s="107">
        <f>SUM(N39:N1048576)</f>
        <v>28108</v>
      </c>
      <c r="O36" s="107">
        <f>SUM(O39:O1048576)</f>
        <v>3943950</v>
      </c>
      <c r="P36" s="107">
        <f>+COUNT(P39:P1048576)</f>
        <v>94</v>
      </c>
    </row>
    <row r="38" spans="4:19" x14ac:dyDescent="0.25">
      <c r="E38" s="82" t="s">
        <v>239</v>
      </c>
      <c r="F38" s="82" t="s">
        <v>240</v>
      </c>
      <c r="G38" s="82" t="s">
        <v>241</v>
      </c>
      <c r="H38" s="82" t="s">
        <v>34</v>
      </c>
      <c r="I38" s="82" t="s">
        <v>252</v>
      </c>
      <c r="J38" s="82" t="s">
        <v>245</v>
      </c>
      <c r="L38" s="82" t="s">
        <v>343</v>
      </c>
      <c r="M38" s="82" t="s">
        <v>344</v>
      </c>
      <c r="N38" s="82" t="s">
        <v>345</v>
      </c>
      <c r="O38" s="82" t="s">
        <v>346</v>
      </c>
      <c r="P38" s="82" t="s">
        <v>347</v>
      </c>
      <c r="Q38" s="82" t="s">
        <v>348</v>
      </c>
      <c r="R38" s="82" t="s">
        <v>349</v>
      </c>
      <c r="S38" s="82" t="s">
        <v>350</v>
      </c>
    </row>
    <row r="39" spans="4:19" x14ac:dyDescent="0.25">
      <c r="D39" s="1">
        <v>33</v>
      </c>
      <c r="E39" s="1" t="s">
        <v>351</v>
      </c>
      <c r="F39" s="38">
        <f>+COUNTIF($B$9:$B$31,D39)</f>
        <v>21</v>
      </c>
      <c r="G39" s="38">
        <f>+SUMIF($B$9:$B$30,D39,$K$9:$K$30)</f>
        <v>0</v>
      </c>
      <c r="H39" s="38">
        <f>+SUMIF($B$9:$B$31,D39,$L$9:$L$31)</f>
        <v>3623240</v>
      </c>
      <c r="I39" s="38">
        <f>+SUMIF($B$9:$B$31,D39,$M$9:$M$31)</f>
        <v>688417</v>
      </c>
      <c r="J39" s="38">
        <f>+SUMIF($B$9:$B$31,D39,$N$9:$N$31)</f>
        <v>4311657</v>
      </c>
      <c r="L39" s="38">
        <v>445</v>
      </c>
      <c r="M39" s="38">
        <v>3529</v>
      </c>
      <c r="N39" s="38">
        <v>671</v>
      </c>
      <c r="O39" s="38">
        <v>4200</v>
      </c>
      <c r="P39" s="38">
        <v>39</v>
      </c>
      <c r="Q39" s="38" t="s">
        <v>859</v>
      </c>
    </row>
    <row r="40" spans="4:19" x14ac:dyDescent="0.25">
      <c r="E40" s="1" t="s">
        <v>253</v>
      </c>
      <c r="F40" s="38">
        <v>6</v>
      </c>
      <c r="G40" s="38">
        <v>0</v>
      </c>
      <c r="H40" s="38">
        <v>147942</v>
      </c>
      <c r="I40" s="38">
        <v>28108</v>
      </c>
      <c r="J40" s="38">
        <v>176050</v>
      </c>
      <c r="K40" s="354">
        <f>+J40-N35</f>
        <v>0</v>
      </c>
      <c r="L40" s="38">
        <v>444</v>
      </c>
      <c r="M40" s="38">
        <v>2017</v>
      </c>
      <c r="N40" s="38">
        <v>383</v>
      </c>
      <c r="O40" s="38">
        <v>2400</v>
      </c>
      <c r="P40" s="38">
        <v>39</v>
      </c>
      <c r="Q40" s="38" t="s">
        <v>860</v>
      </c>
    </row>
    <row r="41" spans="4:19" x14ac:dyDescent="0.25">
      <c r="E41" s="1" t="s">
        <v>254</v>
      </c>
      <c r="F41" s="38">
        <v>88</v>
      </c>
      <c r="G41" s="38">
        <v>3767900</v>
      </c>
      <c r="H41" s="38">
        <v>0</v>
      </c>
      <c r="I41" s="38">
        <v>0</v>
      </c>
      <c r="J41" s="38">
        <v>3767900</v>
      </c>
      <c r="K41" s="354">
        <f>+O35-J41</f>
        <v>0</v>
      </c>
      <c r="L41" s="38">
        <v>443</v>
      </c>
      <c r="M41" s="38">
        <v>1429</v>
      </c>
      <c r="N41" s="38">
        <v>271</v>
      </c>
      <c r="O41" s="38">
        <v>1700</v>
      </c>
      <c r="P41" s="38">
        <v>39</v>
      </c>
      <c r="Q41" s="38" t="s">
        <v>861</v>
      </c>
    </row>
    <row r="42" spans="4:19" x14ac:dyDescent="0.25">
      <c r="E42" s="314" t="s">
        <v>435</v>
      </c>
      <c r="F42" s="358">
        <v>187</v>
      </c>
      <c r="G42" s="358">
        <v>1335900</v>
      </c>
      <c r="H42" s="358">
        <v>325460</v>
      </c>
      <c r="I42" s="358">
        <v>61839</v>
      </c>
      <c r="J42" s="358">
        <v>1723200</v>
      </c>
      <c r="K42" s="354">
        <f>+J42-Comp!P10</f>
        <v>0</v>
      </c>
      <c r="L42" s="38">
        <v>442</v>
      </c>
      <c r="M42" s="38">
        <v>4202</v>
      </c>
      <c r="N42" s="38">
        <v>798</v>
      </c>
      <c r="O42" s="38">
        <v>5000</v>
      </c>
      <c r="P42" s="38">
        <v>39</v>
      </c>
      <c r="Q42" s="38" t="s">
        <v>862</v>
      </c>
    </row>
    <row r="43" spans="4:19" x14ac:dyDescent="0.25">
      <c r="D43" s="1">
        <v>61</v>
      </c>
      <c r="E43" s="1" t="s">
        <v>249</v>
      </c>
      <c r="F43" s="38">
        <f t="shared" ref="F43:F44" si="1">+COUNTIF($B$9:$B$30,D43)</f>
        <v>1</v>
      </c>
      <c r="G43" s="38">
        <f t="shared" ref="G43:G44" si="2">+SUMIF($B$9:$B$30,D43,$K$9:$K$30)</f>
        <v>0</v>
      </c>
      <c r="H43" s="38">
        <f t="shared" ref="H43:H44" si="3">+SUMIF($B$10:$B$31,D43,$L$9:$L$30)</f>
        <v>127228</v>
      </c>
      <c r="I43" s="38">
        <f t="shared" ref="I43:I44" si="4">+SUMIF($B$9:$B$30,D43,$M$9:$M$30)</f>
        <v>-24173</v>
      </c>
      <c r="J43" s="38">
        <f t="shared" ref="J43:J44" si="5">+SUMIF($B$9:$B$30,D43,$N$9:$N$30)</f>
        <v>-151401</v>
      </c>
      <c r="K43" s="354">
        <f>+J39+J43-N6</f>
        <v>0</v>
      </c>
      <c r="L43" s="38">
        <v>441</v>
      </c>
      <c r="M43" s="38">
        <v>134664</v>
      </c>
      <c r="N43" s="38">
        <v>25586</v>
      </c>
      <c r="O43" s="38">
        <v>160250</v>
      </c>
      <c r="P43" s="38">
        <v>39</v>
      </c>
      <c r="Q43" s="38" t="s">
        <v>863</v>
      </c>
    </row>
    <row r="44" spans="4:19" x14ac:dyDescent="0.25">
      <c r="D44" s="1">
        <v>56</v>
      </c>
      <c r="E44" s="1" t="s">
        <v>631</v>
      </c>
      <c r="F44" s="38">
        <f t="shared" si="1"/>
        <v>0</v>
      </c>
      <c r="G44" s="38">
        <f t="shared" si="2"/>
        <v>0</v>
      </c>
      <c r="H44" s="38">
        <f t="shared" si="3"/>
        <v>0</v>
      </c>
      <c r="I44" s="38">
        <f t="shared" si="4"/>
        <v>0</v>
      </c>
      <c r="J44" s="38">
        <f t="shared" si="5"/>
        <v>0</v>
      </c>
      <c r="L44" s="38">
        <v>440</v>
      </c>
      <c r="M44" s="38">
        <v>2101</v>
      </c>
      <c r="N44" s="38">
        <v>399</v>
      </c>
      <c r="O44" s="38">
        <v>2500</v>
      </c>
      <c r="P44" s="38">
        <v>39</v>
      </c>
      <c r="Q44" s="38" t="s">
        <v>864</v>
      </c>
    </row>
    <row r="45" spans="4:19" x14ac:dyDescent="0.25">
      <c r="F45" s="38"/>
      <c r="G45" s="38"/>
      <c r="H45" s="38"/>
      <c r="I45" s="38"/>
      <c r="J45" s="38"/>
      <c r="L45" s="38">
        <v>2495</v>
      </c>
      <c r="M45" s="38">
        <v>0</v>
      </c>
      <c r="N45" s="38">
        <v>0</v>
      </c>
      <c r="O45" s="38">
        <v>43200</v>
      </c>
      <c r="P45" s="38">
        <v>41</v>
      </c>
      <c r="Q45" s="38" t="s">
        <v>865</v>
      </c>
    </row>
    <row r="46" spans="4:19" x14ac:dyDescent="0.25">
      <c r="F46" s="38"/>
      <c r="G46" s="38"/>
      <c r="H46" s="38"/>
      <c r="I46" s="38"/>
      <c r="J46" s="38"/>
      <c r="L46" s="38">
        <v>2494</v>
      </c>
      <c r="M46" s="38">
        <v>0</v>
      </c>
      <c r="N46" s="38">
        <v>0</v>
      </c>
      <c r="O46" s="38">
        <v>12000</v>
      </c>
      <c r="P46" s="38">
        <v>41</v>
      </c>
      <c r="Q46" s="38" t="s">
        <v>866</v>
      </c>
    </row>
    <row r="47" spans="4:19" x14ac:dyDescent="0.25">
      <c r="F47" s="38"/>
      <c r="G47" s="38"/>
      <c r="H47" s="38"/>
      <c r="I47" s="38"/>
      <c r="J47" s="38"/>
      <c r="L47" s="38">
        <v>2493</v>
      </c>
      <c r="M47" s="38">
        <v>0</v>
      </c>
      <c r="N47" s="38">
        <v>0</v>
      </c>
      <c r="O47" s="38">
        <v>7000</v>
      </c>
      <c r="P47" s="38">
        <v>41</v>
      </c>
      <c r="Q47" s="38" t="s">
        <v>867</v>
      </c>
    </row>
    <row r="48" spans="4:19" x14ac:dyDescent="0.25">
      <c r="F48" s="38"/>
      <c r="G48" s="38"/>
      <c r="H48" s="38"/>
      <c r="I48" s="38"/>
      <c r="J48" s="38"/>
      <c r="L48" s="38">
        <v>2492</v>
      </c>
      <c r="M48" s="38">
        <v>0</v>
      </c>
      <c r="N48" s="38">
        <v>0</v>
      </c>
      <c r="O48" s="38">
        <v>6000</v>
      </c>
      <c r="P48" s="38">
        <v>41</v>
      </c>
      <c r="Q48" s="38" t="s">
        <v>868</v>
      </c>
    </row>
    <row r="49" spans="6:17" x14ac:dyDescent="0.25">
      <c r="F49" s="38"/>
      <c r="G49" s="38"/>
      <c r="H49" s="38"/>
      <c r="I49" s="38"/>
      <c r="J49" s="38"/>
      <c r="L49" s="38">
        <v>2491</v>
      </c>
      <c r="M49" s="38">
        <v>0</v>
      </c>
      <c r="N49" s="38">
        <v>0</v>
      </c>
      <c r="O49" s="38">
        <v>72000</v>
      </c>
      <c r="P49" s="38">
        <v>41</v>
      </c>
      <c r="Q49" s="38" t="s">
        <v>869</v>
      </c>
    </row>
    <row r="50" spans="6:17" x14ac:dyDescent="0.25">
      <c r="F50" s="38"/>
      <c r="G50" s="38"/>
      <c r="H50" s="38"/>
      <c r="I50" s="38"/>
      <c r="J50" s="38"/>
      <c r="L50" s="38">
        <v>2490</v>
      </c>
      <c r="M50" s="38">
        <v>0</v>
      </c>
      <c r="N50" s="38">
        <v>0</v>
      </c>
      <c r="O50" s="38">
        <v>62000</v>
      </c>
      <c r="P50" s="38">
        <v>41</v>
      </c>
      <c r="Q50" s="38" t="s">
        <v>870</v>
      </c>
    </row>
    <row r="51" spans="6:17" x14ac:dyDescent="0.25">
      <c r="F51" s="38"/>
      <c r="G51" s="38"/>
      <c r="H51" s="38"/>
      <c r="I51" s="38"/>
      <c r="J51" s="38"/>
      <c r="L51" s="38">
        <v>2489</v>
      </c>
      <c r="M51" s="38">
        <v>0</v>
      </c>
      <c r="N51" s="38">
        <v>0</v>
      </c>
      <c r="O51" s="38">
        <v>62000</v>
      </c>
      <c r="P51" s="38">
        <v>41</v>
      </c>
      <c r="Q51" s="38" t="s">
        <v>871</v>
      </c>
    </row>
    <row r="52" spans="6:17" x14ac:dyDescent="0.25">
      <c r="F52" s="38"/>
      <c r="G52" s="38"/>
      <c r="H52" s="38"/>
      <c r="I52" s="38"/>
      <c r="J52" s="38"/>
      <c r="L52" s="38">
        <v>2488</v>
      </c>
      <c r="M52" s="38">
        <v>0</v>
      </c>
      <c r="N52" s="38">
        <v>0</v>
      </c>
      <c r="O52" s="38">
        <v>40000</v>
      </c>
      <c r="P52" s="38">
        <v>41</v>
      </c>
      <c r="Q52" s="38" t="s">
        <v>872</v>
      </c>
    </row>
    <row r="53" spans="6:17" x14ac:dyDescent="0.25">
      <c r="F53" s="38"/>
      <c r="G53" s="38"/>
      <c r="H53" s="38"/>
      <c r="I53" s="38"/>
      <c r="J53" s="38"/>
      <c r="L53" s="38">
        <v>2487</v>
      </c>
      <c r="M53" s="38">
        <v>0</v>
      </c>
      <c r="N53" s="38">
        <v>0</v>
      </c>
      <c r="O53" s="38">
        <v>6000</v>
      </c>
      <c r="P53" s="38">
        <v>41</v>
      </c>
      <c r="Q53" s="38" t="s">
        <v>873</v>
      </c>
    </row>
    <row r="54" spans="6:17" x14ac:dyDescent="0.25">
      <c r="F54" s="38"/>
      <c r="G54" s="38"/>
      <c r="H54" s="38"/>
      <c r="I54" s="38"/>
      <c r="J54" s="38"/>
      <c r="L54" s="38">
        <v>2486</v>
      </c>
      <c r="M54" s="38">
        <v>0</v>
      </c>
      <c r="N54" s="38">
        <v>0</v>
      </c>
      <c r="O54" s="38">
        <v>48000</v>
      </c>
      <c r="P54" s="38">
        <v>41</v>
      </c>
      <c r="Q54" s="38" t="s">
        <v>874</v>
      </c>
    </row>
    <row r="55" spans="6:17" x14ac:dyDescent="0.25">
      <c r="F55" s="38"/>
      <c r="G55" s="38"/>
      <c r="H55" s="38"/>
      <c r="I55" s="38"/>
      <c r="J55" s="38"/>
      <c r="L55" s="38">
        <v>2485</v>
      </c>
      <c r="M55" s="38">
        <v>0</v>
      </c>
      <c r="N55" s="38">
        <v>0</v>
      </c>
      <c r="O55" s="38">
        <v>72000</v>
      </c>
      <c r="P55" s="38">
        <v>41</v>
      </c>
      <c r="Q55" s="38" t="s">
        <v>875</v>
      </c>
    </row>
    <row r="56" spans="6:17" x14ac:dyDescent="0.25">
      <c r="L56" s="38">
        <v>2484</v>
      </c>
      <c r="M56" s="38">
        <v>0</v>
      </c>
      <c r="N56" s="38">
        <v>0</v>
      </c>
      <c r="O56" s="38">
        <v>53000</v>
      </c>
      <c r="P56" s="38">
        <v>41</v>
      </c>
      <c r="Q56" s="38" t="s">
        <v>876</v>
      </c>
    </row>
    <row r="57" spans="6:17" x14ac:dyDescent="0.25">
      <c r="L57" s="38">
        <v>2483</v>
      </c>
      <c r="M57" s="38">
        <v>0</v>
      </c>
      <c r="N57" s="38">
        <v>0</v>
      </c>
      <c r="O57" s="38">
        <v>21000</v>
      </c>
      <c r="P57" s="38">
        <v>41</v>
      </c>
      <c r="Q57" s="38" t="s">
        <v>877</v>
      </c>
    </row>
    <row r="58" spans="6:17" x14ac:dyDescent="0.25">
      <c r="L58" s="38">
        <v>2482</v>
      </c>
      <c r="M58" s="38">
        <v>0</v>
      </c>
      <c r="N58" s="38">
        <v>0</v>
      </c>
      <c r="O58" s="38">
        <v>43200</v>
      </c>
      <c r="P58" s="38">
        <v>41</v>
      </c>
      <c r="Q58" s="38" t="s">
        <v>878</v>
      </c>
    </row>
    <row r="59" spans="6:17" x14ac:dyDescent="0.25">
      <c r="L59" s="38">
        <v>2481</v>
      </c>
      <c r="M59" s="38">
        <v>0</v>
      </c>
      <c r="N59" s="38">
        <v>0</v>
      </c>
      <c r="O59" s="38">
        <v>48000</v>
      </c>
      <c r="P59" s="38">
        <v>41</v>
      </c>
      <c r="Q59" s="38" t="s">
        <v>879</v>
      </c>
    </row>
    <row r="60" spans="6:17" x14ac:dyDescent="0.25">
      <c r="L60" s="38">
        <v>2480</v>
      </c>
      <c r="M60" s="38">
        <v>0</v>
      </c>
      <c r="N60" s="38">
        <v>0</v>
      </c>
      <c r="O60" s="38">
        <v>12000</v>
      </c>
      <c r="P60" s="38">
        <v>41</v>
      </c>
      <c r="Q60" s="38" t="s">
        <v>880</v>
      </c>
    </row>
    <row r="61" spans="6:17" x14ac:dyDescent="0.25">
      <c r="L61" s="38">
        <v>2479</v>
      </c>
      <c r="M61" s="38">
        <v>0</v>
      </c>
      <c r="N61" s="38">
        <v>0</v>
      </c>
      <c r="O61" s="38">
        <v>12000</v>
      </c>
      <c r="P61" s="38">
        <v>41</v>
      </c>
      <c r="Q61" s="38" t="s">
        <v>881</v>
      </c>
    </row>
    <row r="62" spans="6:17" x14ac:dyDescent="0.25">
      <c r="L62" s="38">
        <v>2478</v>
      </c>
      <c r="M62" s="38">
        <v>0</v>
      </c>
      <c r="N62" s="38">
        <v>0</v>
      </c>
      <c r="O62" s="38">
        <v>133000</v>
      </c>
      <c r="P62" s="38">
        <v>41</v>
      </c>
      <c r="Q62" s="38" t="s">
        <v>882</v>
      </c>
    </row>
    <row r="63" spans="6:17" x14ac:dyDescent="0.25">
      <c r="L63" s="38">
        <v>2477</v>
      </c>
      <c r="M63" s="38">
        <v>0</v>
      </c>
      <c r="N63" s="38">
        <v>0</v>
      </c>
      <c r="O63" s="38">
        <v>6000</v>
      </c>
      <c r="P63" s="38">
        <v>41</v>
      </c>
      <c r="Q63" s="38" t="s">
        <v>883</v>
      </c>
    </row>
    <row r="64" spans="6:17" x14ac:dyDescent="0.25">
      <c r="L64" s="38">
        <v>2476</v>
      </c>
      <c r="M64" s="38">
        <v>0</v>
      </c>
      <c r="N64" s="38">
        <v>0</v>
      </c>
      <c r="O64" s="38">
        <v>6000</v>
      </c>
      <c r="P64" s="38">
        <v>41</v>
      </c>
      <c r="Q64" s="38" t="s">
        <v>884</v>
      </c>
    </row>
    <row r="65" spans="12:17" x14ac:dyDescent="0.25">
      <c r="L65" s="38">
        <v>2475</v>
      </c>
      <c r="M65" s="38">
        <v>0</v>
      </c>
      <c r="N65" s="38">
        <v>0</v>
      </c>
      <c r="O65" s="38">
        <v>48000</v>
      </c>
      <c r="P65" s="38">
        <v>41</v>
      </c>
      <c r="Q65" s="38" t="s">
        <v>885</v>
      </c>
    </row>
    <row r="66" spans="12:17" x14ac:dyDescent="0.25">
      <c r="L66" s="38">
        <v>2474</v>
      </c>
      <c r="M66" s="38">
        <v>0</v>
      </c>
      <c r="N66" s="38">
        <v>0</v>
      </c>
      <c r="O66" s="38">
        <v>48000</v>
      </c>
      <c r="P66" s="38">
        <v>41</v>
      </c>
      <c r="Q66" s="38" t="s">
        <v>886</v>
      </c>
    </row>
    <row r="67" spans="12:17" x14ac:dyDescent="0.25">
      <c r="L67" s="38">
        <v>2473</v>
      </c>
      <c r="M67" s="38">
        <v>0</v>
      </c>
      <c r="N67" s="38">
        <v>0</v>
      </c>
      <c r="O67" s="38">
        <v>6000</v>
      </c>
      <c r="P67" s="38">
        <v>41</v>
      </c>
      <c r="Q67" s="38" t="s">
        <v>887</v>
      </c>
    </row>
    <row r="68" spans="12:17" x14ac:dyDescent="0.25">
      <c r="L68" s="38">
        <v>2472</v>
      </c>
      <c r="M68" s="38">
        <v>0</v>
      </c>
      <c r="N68" s="38">
        <v>0</v>
      </c>
      <c r="O68" s="38">
        <v>62000</v>
      </c>
      <c r="P68" s="38">
        <v>41</v>
      </c>
      <c r="Q68" s="38" t="s">
        <v>888</v>
      </c>
    </row>
    <row r="69" spans="12:17" x14ac:dyDescent="0.25">
      <c r="L69" s="38">
        <v>2471</v>
      </c>
      <c r="M69" s="38">
        <v>0</v>
      </c>
      <c r="N69" s="38">
        <v>0</v>
      </c>
      <c r="O69" s="38">
        <v>41000</v>
      </c>
      <c r="P69" s="38">
        <v>41</v>
      </c>
      <c r="Q69" s="38" t="s">
        <v>889</v>
      </c>
    </row>
    <row r="70" spans="12:17" x14ac:dyDescent="0.25">
      <c r="L70" s="38">
        <v>2470</v>
      </c>
      <c r="M70" s="38">
        <v>0</v>
      </c>
      <c r="N70" s="38">
        <v>0</v>
      </c>
      <c r="O70" s="38">
        <v>53000</v>
      </c>
      <c r="P70" s="38">
        <v>41</v>
      </c>
      <c r="Q70" s="38" t="s">
        <v>890</v>
      </c>
    </row>
    <row r="71" spans="12:17" x14ac:dyDescent="0.25">
      <c r="L71" s="38">
        <v>2469</v>
      </c>
      <c r="M71" s="38">
        <v>0</v>
      </c>
      <c r="N71" s="38">
        <v>0</v>
      </c>
      <c r="O71" s="38">
        <v>48000</v>
      </c>
      <c r="P71" s="38">
        <v>41</v>
      </c>
      <c r="Q71" s="38" t="s">
        <v>891</v>
      </c>
    </row>
    <row r="72" spans="12:17" x14ac:dyDescent="0.25">
      <c r="L72" s="38">
        <v>2468</v>
      </c>
      <c r="M72" s="38">
        <v>0</v>
      </c>
      <c r="N72" s="38">
        <v>0</v>
      </c>
      <c r="O72" s="38">
        <v>48000</v>
      </c>
      <c r="P72" s="38">
        <v>41</v>
      </c>
      <c r="Q72" s="38" t="s">
        <v>892</v>
      </c>
    </row>
    <row r="73" spans="12:17" x14ac:dyDescent="0.25">
      <c r="L73" s="38">
        <v>2467</v>
      </c>
      <c r="M73" s="38">
        <v>0</v>
      </c>
      <c r="N73" s="38">
        <v>0</v>
      </c>
      <c r="O73" s="38">
        <v>41000</v>
      </c>
      <c r="P73" s="38">
        <v>41</v>
      </c>
      <c r="Q73" s="38" t="s">
        <v>893</v>
      </c>
    </row>
    <row r="74" spans="12:17" x14ac:dyDescent="0.25">
      <c r="L74" s="38">
        <v>2466</v>
      </c>
      <c r="M74" s="38">
        <v>0</v>
      </c>
      <c r="N74" s="38">
        <v>0</v>
      </c>
      <c r="O74" s="38">
        <v>48000</v>
      </c>
      <c r="P74" s="38">
        <v>41</v>
      </c>
      <c r="Q74" s="38" t="s">
        <v>894</v>
      </c>
    </row>
    <row r="75" spans="12:17" x14ac:dyDescent="0.25">
      <c r="L75" s="38">
        <v>2465</v>
      </c>
      <c r="M75" s="38">
        <v>0</v>
      </c>
      <c r="N75" s="38">
        <v>0</v>
      </c>
      <c r="O75" s="38">
        <v>48000</v>
      </c>
      <c r="P75" s="38">
        <v>41</v>
      </c>
      <c r="Q75" s="38" t="s">
        <v>895</v>
      </c>
    </row>
    <row r="76" spans="12:17" x14ac:dyDescent="0.25">
      <c r="L76" s="38">
        <v>2464</v>
      </c>
      <c r="M76" s="38">
        <v>0</v>
      </c>
      <c r="N76" s="38">
        <v>0</v>
      </c>
      <c r="O76" s="38">
        <v>48000</v>
      </c>
      <c r="P76" s="38">
        <v>41</v>
      </c>
      <c r="Q76" s="38" t="s">
        <v>896</v>
      </c>
    </row>
    <row r="77" spans="12:17" x14ac:dyDescent="0.25">
      <c r="L77" s="38">
        <v>2463</v>
      </c>
      <c r="M77" s="38">
        <v>0</v>
      </c>
      <c r="N77" s="38">
        <v>0</v>
      </c>
      <c r="O77" s="38">
        <v>4500</v>
      </c>
      <c r="P77" s="38">
        <v>41</v>
      </c>
      <c r="Q77" s="38" t="s">
        <v>897</v>
      </c>
    </row>
    <row r="78" spans="12:17" x14ac:dyDescent="0.25">
      <c r="L78" s="38">
        <v>2462</v>
      </c>
      <c r="M78" s="38">
        <v>0</v>
      </c>
      <c r="N78" s="38">
        <v>0</v>
      </c>
      <c r="O78" s="38">
        <v>41000</v>
      </c>
      <c r="P78" s="38">
        <v>41</v>
      </c>
      <c r="Q78" s="38" t="s">
        <v>898</v>
      </c>
    </row>
    <row r="79" spans="12:17" x14ac:dyDescent="0.25">
      <c r="L79" s="38">
        <v>2461</v>
      </c>
      <c r="M79" s="38">
        <v>0</v>
      </c>
      <c r="N79" s="38">
        <v>0</v>
      </c>
      <c r="O79" s="38">
        <v>6000</v>
      </c>
      <c r="P79" s="38">
        <v>41</v>
      </c>
      <c r="Q79" s="38" t="s">
        <v>899</v>
      </c>
    </row>
    <row r="80" spans="12:17" x14ac:dyDescent="0.25">
      <c r="L80" s="38">
        <v>2460</v>
      </c>
      <c r="M80" s="38">
        <v>0</v>
      </c>
      <c r="N80" s="38">
        <v>0</v>
      </c>
      <c r="O80" s="38">
        <v>62000</v>
      </c>
      <c r="P80" s="38">
        <v>41</v>
      </c>
      <c r="Q80" s="38" t="s">
        <v>900</v>
      </c>
    </row>
    <row r="81" spans="12:17" x14ac:dyDescent="0.25">
      <c r="L81" s="38">
        <v>2459</v>
      </c>
      <c r="M81" s="38">
        <v>0</v>
      </c>
      <c r="N81" s="38">
        <v>0</v>
      </c>
      <c r="O81" s="38">
        <v>53000</v>
      </c>
      <c r="P81" s="38">
        <v>41</v>
      </c>
      <c r="Q81" s="38" t="s">
        <v>901</v>
      </c>
    </row>
    <row r="82" spans="12:17" x14ac:dyDescent="0.25">
      <c r="L82" s="38">
        <v>2458</v>
      </c>
      <c r="M82" s="38">
        <v>0</v>
      </c>
      <c r="N82" s="38">
        <v>0</v>
      </c>
      <c r="O82" s="38">
        <v>41000</v>
      </c>
      <c r="P82" s="38">
        <v>41</v>
      </c>
      <c r="Q82" s="38" t="s">
        <v>902</v>
      </c>
    </row>
    <row r="83" spans="12:17" x14ac:dyDescent="0.25">
      <c r="L83" s="38">
        <v>2457</v>
      </c>
      <c r="M83" s="38">
        <v>0</v>
      </c>
      <c r="N83" s="38">
        <v>0</v>
      </c>
      <c r="O83" s="38">
        <v>6000</v>
      </c>
      <c r="P83" s="38">
        <v>41</v>
      </c>
      <c r="Q83" s="38" t="s">
        <v>903</v>
      </c>
    </row>
    <row r="84" spans="12:17" x14ac:dyDescent="0.25">
      <c r="L84" s="38">
        <v>2456</v>
      </c>
      <c r="M84" s="38">
        <v>0</v>
      </c>
      <c r="N84" s="38">
        <v>0</v>
      </c>
      <c r="O84" s="38">
        <v>6000</v>
      </c>
      <c r="P84" s="38">
        <v>41</v>
      </c>
      <c r="Q84" s="38" t="s">
        <v>904</v>
      </c>
    </row>
    <row r="85" spans="12:17" x14ac:dyDescent="0.25">
      <c r="L85" s="38">
        <v>2455</v>
      </c>
      <c r="M85" s="38">
        <v>0</v>
      </c>
      <c r="N85" s="38">
        <v>0</v>
      </c>
      <c r="O85" s="38">
        <v>53000</v>
      </c>
      <c r="P85" s="38">
        <v>41</v>
      </c>
      <c r="Q85" s="38" t="s">
        <v>905</v>
      </c>
    </row>
    <row r="86" spans="12:17" x14ac:dyDescent="0.25">
      <c r="L86" s="38">
        <v>2454</v>
      </c>
      <c r="M86" s="38">
        <v>0</v>
      </c>
      <c r="N86" s="38">
        <v>0</v>
      </c>
      <c r="O86" s="38">
        <v>6000</v>
      </c>
      <c r="P86" s="38">
        <v>41</v>
      </c>
      <c r="Q86" s="38" t="s">
        <v>906</v>
      </c>
    </row>
    <row r="87" spans="12:17" x14ac:dyDescent="0.25">
      <c r="L87" s="38">
        <v>2453</v>
      </c>
      <c r="M87" s="38">
        <v>0</v>
      </c>
      <c r="N87" s="38">
        <v>0</v>
      </c>
      <c r="O87" s="38">
        <v>6000</v>
      </c>
      <c r="P87" s="38">
        <v>41</v>
      </c>
      <c r="Q87" s="38" t="s">
        <v>907</v>
      </c>
    </row>
    <row r="88" spans="12:17" x14ac:dyDescent="0.25">
      <c r="L88" s="38">
        <v>2452</v>
      </c>
      <c r="M88" s="38">
        <v>0</v>
      </c>
      <c r="N88" s="38">
        <v>0</v>
      </c>
      <c r="O88" s="38">
        <v>53000</v>
      </c>
      <c r="P88" s="38">
        <v>41</v>
      </c>
      <c r="Q88" s="38" t="s">
        <v>908</v>
      </c>
    </row>
    <row r="89" spans="12:17" x14ac:dyDescent="0.25">
      <c r="L89" s="38">
        <v>2451</v>
      </c>
      <c r="M89" s="38">
        <v>0</v>
      </c>
      <c r="N89" s="38">
        <v>0</v>
      </c>
      <c r="O89" s="38">
        <v>48000</v>
      </c>
      <c r="P89" s="38">
        <v>41</v>
      </c>
      <c r="Q89" s="38" t="s">
        <v>909</v>
      </c>
    </row>
    <row r="90" spans="12:17" x14ac:dyDescent="0.25">
      <c r="L90" s="38">
        <v>2450</v>
      </c>
      <c r="M90" s="38">
        <v>0</v>
      </c>
      <c r="N90" s="38">
        <v>0</v>
      </c>
      <c r="O90" s="38">
        <v>6000</v>
      </c>
      <c r="P90" s="38">
        <v>41</v>
      </c>
      <c r="Q90" s="38" t="s">
        <v>910</v>
      </c>
    </row>
    <row r="91" spans="12:17" x14ac:dyDescent="0.25">
      <c r="L91" s="38">
        <v>2449</v>
      </c>
      <c r="M91" s="38">
        <v>0</v>
      </c>
      <c r="N91" s="38">
        <v>0</v>
      </c>
      <c r="O91" s="38">
        <v>6000</v>
      </c>
      <c r="P91" s="38">
        <v>41</v>
      </c>
      <c r="Q91" s="38" t="s">
        <v>911</v>
      </c>
    </row>
    <row r="92" spans="12:17" x14ac:dyDescent="0.25">
      <c r="L92" s="38">
        <v>2448</v>
      </c>
      <c r="M92" s="38">
        <v>0</v>
      </c>
      <c r="N92" s="38">
        <v>0</v>
      </c>
      <c r="O92" s="38">
        <v>48000</v>
      </c>
      <c r="P92" s="38">
        <v>41</v>
      </c>
      <c r="Q92" s="38" t="s">
        <v>912</v>
      </c>
    </row>
    <row r="93" spans="12:17" x14ac:dyDescent="0.25">
      <c r="L93" s="38">
        <v>2447</v>
      </c>
      <c r="M93" s="38">
        <v>0</v>
      </c>
      <c r="N93" s="38">
        <v>0</v>
      </c>
      <c r="O93" s="38">
        <v>48000</v>
      </c>
      <c r="P93" s="38">
        <v>41</v>
      </c>
      <c r="Q93" s="38" t="s">
        <v>913</v>
      </c>
    </row>
    <row r="94" spans="12:17" x14ac:dyDescent="0.25">
      <c r="L94" s="38">
        <v>2446</v>
      </c>
      <c r="M94" s="38">
        <v>0</v>
      </c>
      <c r="N94" s="38">
        <v>0</v>
      </c>
      <c r="O94" s="38">
        <v>48000</v>
      </c>
      <c r="P94" s="38">
        <v>41</v>
      </c>
      <c r="Q94" s="38" t="s">
        <v>914</v>
      </c>
    </row>
    <row r="95" spans="12:17" x14ac:dyDescent="0.25">
      <c r="L95" s="38">
        <v>2445</v>
      </c>
      <c r="M95" s="38">
        <v>0</v>
      </c>
      <c r="N95" s="38">
        <v>0</v>
      </c>
      <c r="O95" s="38">
        <v>41000</v>
      </c>
      <c r="P95" s="38">
        <v>41</v>
      </c>
      <c r="Q95" s="38" t="s">
        <v>915</v>
      </c>
    </row>
    <row r="96" spans="12:17" x14ac:dyDescent="0.25">
      <c r="L96" s="38">
        <v>2444</v>
      </c>
      <c r="M96" s="38">
        <v>0</v>
      </c>
      <c r="N96" s="38">
        <v>0</v>
      </c>
      <c r="O96" s="38">
        <v>41000</v>
      </c>
      <c r="P96" s="38">
        <v>41</v>
      </c>
      <c r="Q96" s="38" t="s">
        <v>916</v>
      </c>
    </row>
    <row r="97" spans="12:17" x14ac:dyDescent="0.25">
      <c r="L97" s="38">
        <v>2443</v>
      </c>
      <c r="M97" s="38">
        <v>0</v>
      </c>
      <c r="N97" s="38">
        <v>0</v>
      </c>
      <c r="O97" s="38">
        <v>62000</v>
      </c>
      <c r="P97" s="38">
        <v>41</v>
      </c>
      <c r="Q97" s="38" t="s">
        <v>917</v>
      </c>
    </row>
    <row r="98" spans="12:17" x14ac:dyDescent="0.25">
      <c r="L98" s="38">
        <v>2442</v>
      </c>
      <c r="M98" s="38">
        <v>0</v>
      </c>
      <c r="N98" s="38">
        <v>0</v>
      </c>
      <c r="O98" s="38">
        <v>145000</v>
      </c>
      <c r="P98" s="38">
        <v>41</v>
      </c>
      <c r="Q98" s="38" t="s">
        <v>918</v>
      </c>
    </row>
    <row r="99" spans="12:17" x14ac:dyDescent="0.25">
      <c r="L99" s="38">
        <v>2441</v>
      </c>
      <c r="M99" s="38">
        <v>0</v>
      </c>
      <c r="N99" s="38">
        <v>0</v>
      </c>
      <c r="O99" s="38">
        <v>41000</v>
      </c>
      <c r="P99" s="38">
        <v>41</v>
      </c>
      <c r="Q99" s="38" t="s">
        <v>919</v>
      </c>
    </row>
    <row r="100" spans="12:17" x14ac:dyDescent="0.25">
      <c r="L100" s="38">
        <v>2440</v>
      </c>
      <c r="M100" s="38">
        <v>0</v>
      </c>
      <c r="N100" s="38">
        <v>0</v>
      </c>
      <c r="O100" s="38">
        <v>48000</v>
      </c>
      <c r="P100" s="38">
        <v>41</v>
      </c>
      <c r="Q100" s="38" t="s">
        <v>920</v>
      </c>
    </row>
    <row r="101" spans="12:17" x14ac:dyDescent="0.25">
      <c r="L101" s="38">
        <v>2439</v>
      </c>
      <c r="M101" s="38">
        <v>0</v>
      </c>
      <c r="N101" s="38">
        <v>0</v>
      </c>
      <c r="O101" s="38">
        <v>48000</v>
      </c>
      <c r="P101" s="38">
        <v>41</v>
      </c>
      <c r="Q101" s="38" t="s">
        <v>921</v>
      </c>
    </row>
    <row r="102" spans="12:17" x14ac:dyDescent="0.25">
      <c r="L102" s="38">
        <v>2438</v>
      </c>
      <c r="M102" s="38">
        <v>0</v>
      </c>
      <c r="N102" s="38">
        <v>0</v>
      </c>
      <c r="O102" s="38">
        <v>41000</v>
      </c>
      <c r="P102" s="38">
        <v>41</v>
      </c>
      <c r="Q102" s="38" t="s">
        <v>922</v>
      </c>
    </row>
    <row r="103" spans="12:17" x14ac:dyDescent="0.25">
      <c r="L103" s="38">
        <v>2437</v>
      </c>
      <c r="M103" s="38">
        <v>0</v>
      </c>
      <c r="N103" s="38">
        <v>0</v>
      </c>
      <c r="O103" s="38">
        <v>48000</v>
      </c>
      <c r="P103" s="38">
        <v>41</v>
      </c>
      <c r="Q103" s="38" t="s">
        <v>923</v>
      </c>
    </row>
    <row r="104" spans="12:17" x14ac:dyDescent="0.25">
      <c r="L104" s="38">
        <v>2436</v>
      </c>
      <c r="M104" s="38">
        <v>0</v>
      </c>
      <c r="N104" s="38">
        <v>0</v>
      </c>
      <c r="O104" s="38">
        <v>6000</v>
      </c>
      <c r="P104" s="38">
        <v>41</v>
      </c>
      <c r="Q104" s="38" t="s">
        <v>924</v>
      </c>
    </row>
    <row r="105" spans="12:17" x14ac:dyDescent="0.25">
      <c r="L105" s="38">
        <v>2435</v>
      </c>
      <c r="M105" s="38">
        <v>0</v>
      </c>
      <c r="N105" s="38">
        <v>0</v>
      </c>
      <c r="O105" s="38">
        <v>41000</v>
      </c>
      <c r="P105" s="38">
        <v>41</v>
      </c>
      <c r="Q105" s="38" t="s">
        <v>925</v>
      </c>
    </row>
    <row r="106" spans="12:17" x14ac:dyDescent="0.25">
      <c r="L106" s="38">
        <v>2434</v>
      </c>
      <c r="M106" s="38">
        <v>0</v>
      </c>
      <c r="N106" s="38">
        <v>0</v>
      </c>
      <c r="O106" s="38">
        <v>6000</v>
      </c>
      <c r="P106" s="38">
        <v>41</v>
      </c>
      <c r="Q106" s="38" t="s">
        <v>926</v>
      </c>
    </row>
    <row r="107" spans="12:17" x14ac:dyDescent="0.25">
      <c r="L107" s="38">
        <v>2433</v>
      </c>
      <c r="M107" s="38">
        <v>0</v>
      </c>
      <c r="N107" s="38">
        <v>0</v>
      </c>
      <c r="O107" s="38">
        <v>48000</v>
      </c>
      <c r="P107" s="38">
        <v>41</v>
      </c>
      <c r="Q107" s="38" t="s">
        <v>927</v>
      </c>
    </row>
    <row r="108" spans="12:17" x14ac:dyDescent="0.25">
      <c r="L108" s="38">
        <v>2432</v>
      </c>
      <c r="M108" s="38">
        <v>0</v>
      </c>
      <c r="N108" s="38">
        <v>0</v>
      </c>
      <c r="O108" s="38">
        <v>62000</v>
      </c>
      <c r="P108" s="38">
        <v>41</v>
      </c>
      <c r="Q108" s="38" t="s">
        <v>928</v>
      </c>
    </row>
    <row r="109" spans="12:17" x14ac:dyDescent="0.25">
      <c r="L109" s="38">
        <v>2431</v>
      </c>
      <c r="M109" s="38">
        <v>0</v>
      </c>
      <c r="N109" s="38">
        <v>0</v>
      </c>
      <c r="O109" s="38">
        <v>41000</v>
      </c>
      <c r="P109" s="38">
        <v>41</v>
      </c>
      <c r="Q109" s="38" t="s">
        <v>929</v>
      </c>
    </row>
    <row r="110" spans="12:17" x14ac:dyDescent="0.25">
      <c r="L110" s="38">
        <v>2430</v>
      </c>
      <c r="M110" s="38">
        <v>0</v>
      </c>
      <c r="N110" s="38">
        <v>0</v>
      </c>
      <c r="O110" s="38">
        <v>41000</v>
      </c>
      <c r="P110" s="38">
        <v>41</v>
      </c>
      <c r="Q110" s="38" t="s">
        <v>930</v>
      </c>
    </row>
    <row r="111" spans="12:17" x14ac:dyDescent="0.25">
      <c r="L111" s="38">
        <v>2429</v>
      </c>
      <c r="M111" s="38">
        <v>0</v>
      </c>
      <c r="N111" s="38">
        <v>0</v>
      </c>
      <c r="O111" s="38">
        <v>48000</v>
      </c>
      <c r="P111" s="38">
        <v>41</v>
      </c>
      <c r="Q111" s="38" t="s">
        <v>931</v>
      </c>
    </row>
    <row r="112" spans="12:17" x14ac:dyDescent="0.25">
      <c r="L112" s="38">
        <v>2428</v>
      </c>
      <c r="M112" s="38">
        <v>0</v>
      </c>
      <c r="N112" s="38">
        <v>0</v>
      </c>
      <c r="O112" s="38">
        <v>53000</v>
      </c>
      <c r="P112" s="38">
        <v>41</v>
      </c>
      <c r="Q112" s="38" t="s">
        <v>932</v>
      </c>
    </row>
    <row r="113" spans="12:17" x14ac:dyDescent="0.25">
      <c r="L113" s="38">
        <v>2427</v>
      </c>
      <c r="M113" s="38">
        <v>0</v>
      </c>
      <c r="N113" s="38">
        <v>0</v>
      </c>
      <c r="O113" s="38">
        <v>48000</v>
      </c>
      <c r="P113" s="38">
        <v>41</v>
      </c>
      <c r="Q113" s="38" t="s">
        <v>933</v>
      </c>
    </row>
    <row r="114" spans="12:17" x14ac:dyDescent="0.25">
      <c r="L114" s="38">
        <v>2426</v>
      </c>
      <c r="M114" s="38">
        <v>0</v>
      </c>
      <c r="N114" s="38">
        <v>0</v>
      </c>
      <c r="O114" s="38">
        <v>41000</v>
      </c>
      <c r="P114" s="38">
        <v>41</v>
      </c>
      <c r="Q114" s="38" t="s">
        <v>934</v>
      </c>
    </row>
    <row r="115" spans="12:17" x14ac:dyDescent="0.25">
      <c r="L115" s="38">
        <v>2425</v>
      </c>
      <c r="M115" s="38">
        <v>0</v>
      </c>
      <c r="N115" s="38">
        <v>0</v>
      </c>
      <c r="O115" s="38">
        <v>41000</v>
      </c>
      <c r="P115" s="38">
        <v>41</v>
      </c>
      <c r="Q115" s="38" t="s">
        <v>935</v>
      </c>
    </row>
    <row r="116" spans="12:17" x14ac:dyDescent="0.25">
      <c r="L116" s="38">
        <v>2424</v>
      </c>
      <c r="M116" s="38">
        <v>0</v>
      </c>
      <c r="N116" s="38">
        <v>0</v>
      </c>
      <c r="O116" s="38">
        <v>53000</v>
      </c>
      <c r="P116" s="38">
        <v>41</v>
      </c>
      <c r="Q116" s="38" t="s">
        <v>936</v>
      </c>
    </row>
    <row r="117" spans="12:17" x14ac:dyDescent="0.25">
      <c r="L117" s="38">
        <v>2423</v>
      </c>
      <c r="M117" s="38">
        <v>0</v>
      </c>
      <c r="N117" s="38">
        <v>0</v>
      </c>
      <c r="O117" s="38">
        <v>62000</v>
      </c>
      <c r="P117" s="38">
        <v>41</v>
      </c>
      <c r="Q117" s="38" t="s">
        <v>937</v>
      </c>
    </row>
    <row r="118" spans="12:17" x14ac:dyDescent="0.25">
      <c r="L118" s="38">
        <v>2422</v>
      </c>
      <c r="M118" s="38">
        <v>0</v>
      </c>
      <c r="N118" s="38">
        <v>0</v>
      </c>
      <c r="O118" s="38">
        <v>41000</v>
      </c>
      <c r="P118" s="38">
        <v>41</v>
      </c>
      <c r="Q118" s="38" t="s">
        <v>938</v>
      </c>
    </row>
    <row r="119" spans="12:17" x14ac:dyDescent="0.25">
      <c r="L119" s="38">
        <v>2421</v>
      </c>
      <c r="M119" s="38">
        <v>0</v>
      </c>
      <c r="N119" s="38">
        <v>0</v>
      </c>
      <c r="O119" s="38">
        <v>48000</v>
      </c>
      <c r="P119" s="38">
        <v>41</v>
      </c>
      <c r="Q119" s="38" t="s">
        <v>939</v>
      </c>
    </row>
    <row r="120" spans="12:17" x14ac:dyDescent="0.25">
      <c r="L120" s="38">
        <v>2420</v>
      </c>
      <c r="M120" s="38">
        <v>0</v>
      </c>
      <c r="N120" s="38">
        <v>0</v>
      </c>
      <c r="O120" s="38">
        <v>41000</v>
      </c>
      <c r="P120" s="38">
        <v>41</v>
      </c>
      <c r="Q120" s="38" t="s">
        <v>940</v>
      </c>
    </row>
    <row r="121" spans="12:17" x14ac:dyDescent="0.25">
      <c r="L121" s="38">
        <v>2419</v>
      </c>
      <c r="M121" s="38">
        <v>0</v>
      </c>
      <c r="N121" s="38">
        <v>0</v>
      </c>
      <c r="O121" s="38">
        <v>172000</v>
      </c>
      <c r="P121" s="38">
        <v>41</v>
      </c>
      <c r="Q121" s="38" t="s">
        <v>941</v>
      </c>
    </row>
    <row r="122" spans="12:17" x14ac:dyDescent="0.25">
      <c r="L122" s="38">
        <v>2418</v>
      </c>
      <c r="M122" s="38">
        <v>0</v>
      </c>
      <c r="N122" s="38">
        <v>0</v>
      </c>
      <c r="O122" s="38">
        <v>133000</v>
      </c>
      <c r="P122" s="38">
        <v>41</v>
      </c>
      <c r="Q122" s="38" t="s">
        <v>942</v>
      </c>
    </row>
    <row r="123" spans="12:17" x14ac:dyDescent="0.25">
      <c r="L123" s="38">
        <v>2417</v>
      </c>
      <c r="M123" s="38">
        <v>0</v>
      </c>
      <c r="N123" s="38">
        <v>0</v>
      </c>
      <c r="O123" s="38">
        <v>41000</v>
      </c>
      <c r="P123" s="38">
        <v>41</v>
      </c>
      <c r="Q123" s="38" t="s">
        <v>943</v>
      </c>
    </row>
    <row r="124" spans="12:17" x14ac:dyDescent="0.25">
      <c r="L124" s="38">
        <v>2416</v>
      </c>
      <c r="M124" s="38">
        <v>0</v>
      </c>
      <c r="N124" s="38">
        <v>0</v>
      </c>
      <c r="O124" s="38">
        <v>41000</v>
      </c>
      <c r="P124" s="38">
        <v>41</v>
      </c>
      <c r="Q124" s="38" t="s">
        <v>944</v>
      </c>
    </row>
    <row r="125" spans="12:17" x14ac:dyDescent="0.25">
      <c r="L125" s="38">
        <v>2415</v>
      </c>
      <c r="M125" s="38">
        <v>0</v>
      </c>
      <c r="N125" s="38">
        <v>0</v>
      </c>
      <c r="O125" s="38">
        <v>48000</v>
      </c>
      <c r="P125" s="38">
        <v>41</v>
      </c>
      <c r="Q125" s="38" t="s">
        <v>945</v>
      </c>
    </row>
    <row r="126" spans="12:17" x14ac:dyDescent="0.25">
      <c r="L126" s="38">
        <v>2414</v>
      </c>
      <c r="M126" s="38">
        <v>0</v>
      </c>
      <c r="N126" s="38">
        <v>0</v>
      </c>
      <c r="O126" s="38">
        <v>62000</v>
      </c>
      <c r="P126" s="38">
        <v>41</v>
      </c>
      <c r="Q126" s="38" t="s">
        <v>946</v>
      </c>
    </row>
    <row r="127" spans="12:17" x14ac:dyDescent="0.25">
      <c r="L127" s="38">
        <v>2413</v>
      </c>
      <c r="M127" s="38">
        <v>0</v>
      </c>
      <c r="N127" s="38">
        <v>0</v>
      </c>
      <c r="O127" s="38">
        <v>6000</v>
      </c>
      <c r="P127" s="38">
        <v>41</v>
      </c>
      <c r="Q127" s="38" t="s">
        <v>947</v>
      </c>
    </row>
    <row r="128" spans="12:17" x14ac:dyDescent="0.25">
      <c r="L128" s="38">
        <v>2412</v>
      </c>
      <c r="M128" s="38">
        <v>0</v>
      </c>
      <c r="N128" s="38">
        <v>0</v>
      </c>
      <c r="O128" s="38">
        <v>48000</v>
      </c>
      <c r="P128" s="38">
        <v>41</v>
      </c>
      <c r="Q128" s="38" t="s">
        <v>948</v>
      </c>
    </row>
    <row r="129" spans="12:17" x14ac:dyDescent="0.25">
      <c r="L129" s="38">
        <v>2411</v>
      </c>
      <c r="M129" s="38">
        <v>0</v>
      </c>
      <c r="N129" s="38">
        <v>0</v>
      </c>
      <c r="O129" s="38">
        <v>6000</v>
      </c>
      <c r="P129" s="38">
        <v>41</v>
      </c>
      <c r="Q129" s="38" t="s">
        <v>949</v>
      </c>
    </row>
    <row r="130" spans="12:17" x14ac:dyDescent="0.25">
      <c r="L130" s="38">
        <v>2410</v>
      </c>
      <c r="M130" s="38">
        <v>0</v>
      </c>
      <c r="N130" s="38">
        <v>0</v>
      </c>
      <c r="O130" s="38">
        <v>41000</v>
      </c>
      <c r="P130" s="38">
        <v>41</v>
      </c>
      <c r="Q130" s="38" t="s">
        <v>950</v>
      </c>
    </row>
    <row r="131" spans="12:17" x14ac:dyDescent="0.25">
      <c r="L131" s="38">
        <v>2409</v>
      </c>
      <c r="M131" s="38">
        <v>0</v>
      </c>
      <c r="N131" s="38">
        <v>0</v>
      </c>
      <c r="O131" s="38">
        <v>41000</v>
      </c>
      <c r="P131" s="38">
        <v>41</v>
      </c>
      <c r="Q131" s="38" t="s">
        <v>951</v>
      </c>
    </row>
    <row r="132" spans="12:17" x14ac:dyDescent="0.25">
      <c r="L132" s="38">
        <v>2408</v>
      </c>
      <c r="M132" s="38">
        <v>0</v>
      </c>
      <c r="N132" s="38">
        <v>0</v>
      </c>
      <c r="O132" s="38">
        <v>48000</v>
      </c>
      <c r="P132" s="38">
        <v>41</v>
      </c>
      <c r="Q132" s="38" t="s">
        <v>952</v>
      </c>
    </row>
  </sheetData>
  <sortState xmlns:xlrd2="http://schemas.microsoft.com/office/spreadsheetml/2017/richdata2" ref="L39:S40">
    <sortCondition ref="L39:L40"/>
  </sortState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02"/>
  <sheetViews>
    <sheetView showGridLines="0" zoomScale="80" zoomScaleNormal="80" workbookViewId="0">
      <pane ySplit="15" topLeftCell="A16" activePane="bottomLeft" state="frozen"/>
      <selection pane="bottomLeft" activeCell="I15" sqref="I15"/>
    </sheetView>
  </sheetViews>
  <sheetFormatPr baseColWidth="10" defaultColWidth="11.42578125" defaultRowHeight="15" x14ac:dyDescent="0.25"/>
  <cols>
    <col min="1" max="1" width="15.140625" style="1" customWidth="1"/>
    <col min="2" max="2" width="43.7109375" style="1" bestFit="1" customWidth="1"/>
    <col min="3" max="3" width="11.85546875" style="1" customWidth="1"/>
    <col min="4" max="4" width="15.28515625" style="1" bestFit="1" customWidth="1"/>
    <col min="5" max="5" width="8.42578125" style="1" customWidth="1"/>
    <col min="6" max="6" width="8.5703125" style="1" customWidth="1"/>
    <col min="7" max="7" width="12.5703125" style="1" bestFit="1" customWidth="1"/>
    <col min="8" max="8" width="20.28515625" style="1" bestFit="1" customWidth="1"/>
    <col min="9" max="9" width="8.140625" style="1" bestFit="1" customWidth="1"/>
    <col min="10" max="10" width="9.42578125" style="1" bestFit="1" customWidth="1"/>
    <col min="11" max="11" width="29.140625" style="1" bestFit="1" customWidth="1"/>
    <col min="12" max="12" width="13.42578125" style="1" bestFit="1" customWidth="1"/>
    <col min="13" max="13" width="13.85546875" style="1" bestFit="1" customWidth="1"/>
    <col min="14" max="14" width="12.85546875" style="38" bestFit="1" customWidth="1"/>
    <col min="15" max="15" width="14.28515625" style="38" bestFit="1" customWidth="1"/>
    <col min="16" max="16" width="19.5703125" style="38" bestFit="1" customWidth="1"/>
    <col min="17" max="17" width="29.28515625" style="38" bestFit="1" customWidth="1"/>
    <col min="18" max="18" width="16.5703125" style="1" bestFit="1" customWidth="1"/>
    <col min="19" max="19" width="16.140625" style="38" bestFit="1" customWidth="1"/>
    <col min="20" max="20" width="21.85546875" style="38" bestFit="1" customWidth="1"/>
    <col min="21" max="21" width="20.5703125" style="1" bestFit="1" customWidth="1"/>
    <col min="22" max="22" width="12.85546875" style="1" bestFit="1" customWidth="1"/>
    <col min="23" max="23" width="17.5703125" style="1" bestFit="1" customWidth="1"/>
    <col min="24" max="24" width="23.140625" style="1" bestFit="1" customWidth="1"/>
    <col min="25" max="25" width="26.85546875" style="1" bestFit="1" customWidth="1"/>
    <col min="26" max="26" width="25.42578125" style="1" bestFit="1" customWidth="1"/>
    <col min="27" max="16384" width="11.42578125" style="1"/>
  </cols>
  <sheetData>
    <row r="1" spans="1:26" x14ac:dyDescent="0.25">
      <c r="A1" s="54"/>
      <c r="B1" s="59"/>
    </row>
    <row r="2" spans="1:26" x14ac:dyDescent="0.25">
      <c r="A2" s="59"/>
      <c r="B2" s="59"/>
    </row>
    <row r="3" spans="1:26" x14ac:dyDescent="0.25">
      <c r="A3" s="59"/>
      <c r="B3" s="59"/>
    </row>
    <row r="4" spans="1:26" x14ac:dyDescent="0.25">
      <c r="A4" s="59"/>
      <c r="B4" s="59"/>
    </row>
    <row r="5" spans="1:26" x14ac:dyDescent="0.25">
      <c r="A5" s="54"/>
      <c r="B5" s="59"/>
    </row>
    <row r="6" spans="1:26" x14ac:dyDescent="0.25">
      <c r="A6" s="59"/>
      <c r="B6" s="59"/>
      <c r="K6" s="59" t="s">
        <v>238</v>
      </c>
      <c r="L6" s="59">
        <v>48</v>
      </c>
      <c r="N6" s="1"/>
      <c r="O6" s="1"/>
      <c r="P6" s="1"/>
      <c r="Q6" s="1"/>
    </row>
    <row r="7" spans="1:26" x14ac:dyDescent="0.25">
      <c r="A7" s="59"/>
      <c r="B7" s="59"/>
      <c r="K7" s="115" t="s">
        <v>468</v>
      </c>
      <c r="L7" s="115" t="s">
        <v>469</v>
      </c>
      <c r="M7" s="115" t="s">
        <v>385</v>
      </c>
      <c r="N7" s="115" t="s">
        <v>353</v>
      </c>
      <c r="O7" s="115" t="s">
        <v>352</v>
      </c>
      <c r="P7" s="115" t="s">
        <v>17</v>
      </c>
      <c r="Q7" s="115" t="s">
        <v>386</v>
      </c>
    </row>
    <row r="8" spans="1:26" x14ac:dyDescent="0.25">
      <c r="A8" s="59"/>
      <c r="B8" s="59"/>
      <c r="K8" s="59" t="s">
        <v>438</v>
      </c>
      <c r="L8" s="59">
        <f>+COUNTIF(Tabla1[TIPO PAGO],K8)</f>
        <v>152</v>
      </c>
      <c r="M8" s="62">
        <f>+SUMIF(Tabla1[TIPO PAGO],K8,Tabla1[VALOR TRANSACCIÓN])</f>
        <v>387300</v>
      </c>
      <c r="N8" s="62">
        <f>+ROUND(M8/1.19,0)</f>
        <v>325462</v>
      </c>
      <c r="O8" s="62">
        <f>+ROUND(N8*19%,0)</f>
        <v>61838</v>
      </c>
      <c r="P8" s="62">
        <f>+N8+O8</f>
        <v>387300</v>
      </c>
      <c r="Q8" s="182">
        <f>+M8-P8</f>
        <v>0</v>
      </c>
    </row>
    <row r="9" spans="1:26" x14ac:dyDescent="0.25">
      <c r="A9" s="59"/>
      <c r="B9" s="59"/>
      <c r="K9" s="59" t="s">
        <v>439</v>
      </c>
      <c r="L9" s="59">
        <f>+COUNTIF(Tabla1[TIPO PAGO],K9)</f>
        <v>35</v>
      </c>
      <c r="M9" s="62">
        <f>+SUMIF(Tabla1[TIPO PAGO],K9,Tabla1[VALOR TRANSACCIÓN])</f>
        <v>1335900</v>
      </c>
      <c r="N9" s="1"/>
      <c r="O9" s="1"/>
      <c r="P9" s="62">
        <f>+M9</f>
        <v>1335900</v>
      </c>
      <c r="Q9" s="182">
        <f>+M9-P9</f>
        <v>0</v>
      </c>
    </row>
    <row r="10" spans="1:26" x14ac:dyDescent="0.25">
      <c r="A10" s="59"/>
      <c r="B10" s="59"/>
      <c r="K10" s="106" t="s">
        <v>17</v>
      </c>
      <c r="L10" s="174">
        <f>+L8+L9</f>
        <v>187</v>
      </c>
      <c r="M10" s="162">
        <f>+M8+M9</f>
        <v>1723200</v>
      </c>
      <c r="N10" s="162">
        <f t="shared" ref="N10:Q10" si="0">+N8+N9</f>
        <v>325462</v>
      </c>
      <c r="O10" s="162">
        <f t="shared" si="0"/>
        <v>61838</v>
      </c>
      <c r="P10" s="162">
        <f t="shared" si="0"/>
        <v>1723200</v>
      </c>
      <c r="Q10" s="162">
        <f t="shared" si="0"/>
        <v>0</v>
      </c>
    </row>
    <row r="11" spans="1:26" x14ac:dyDescent="0.25">
      <c r="A11" s="59"/>
      <c r="B11" s="59"/>
      <c r="K11" s="59"/>
      <c r="L11" s="59"/>
      <c r="M11" s="62"/>
      <c r="N11" s="62"/>
      <c r="O11" s="62"/>
      <c r="P11" s="62"/>
      <c r="Q11" s="62"/>
    </row>
    <row r="12" spans="1:26" x14ac:dyDescent="0.25">
      <c r="A12" s="59"/>
      <c r="B12" s="59"/>
      <c r="K12" s="59"/>
      <c r="L12" s="59"/>
      <c r="M12" s="62"/>
      <c r="N12" s="62"/>
      <c r="O12" s="62"/>
      <c r="P12" s="62"/>
      <c r="Q12" s="62"/>
    </row>
    <row r="13" spans="1:26" x14ac:dyDescent="0.25">
      <c r="A13" s="59"/>
      <c r="B13" s="59"/>
      <c r="G13" s="59"/>
      <c r="H13" s="62"/>
      <c r="K13" s="59" t="s">
        <v>250</v>
      </c>
      <c r="L13" s="59"/>
      <c r="M13" s="59"/>
      <c r="N13" s="76"/>
      <c r="O13" s="76">
        <f>SUM(Tabla1[PROPINA])</f>
        <v>0</v>
      </c>
      <c r="P13" s="76">
        <f>SUM(Tabla1[VALOR VENTA])</f>
        <v>1723200</v>
      </c>
      <c r="Q13" s="76">
        <f>SUM(Tabla1[VALOR TRANSACCIÓN])</f>
        <v>1723200</v>
      </c>
      <c r="R13" s="59"/>
      <c r="S13" s="76">
        <f>SUM(Tabla1[COMISIÓN])</f>
        <v>40682</v>
      </c>
      <c r="T13" s="76">
        <f>SUM(Tabla1[MONTO ABONO])</f>
        <v>1682518</v>
      </c>
    </row>
    <row r="14" spans="1:26" x14ac:dyDescent="0.25">
      <c r="A14" s="59"/>
      <c r="B14" s="59"/>
    </row>
    <row r="15" spans="1:26" x14ac:dyDescent="0.25">
      <c r="A15" s="177" t="s">
        <v>444</v>
      </c>
      <c r="B15" s="177" t="s">
        <v>445</v>
      </c>
      <c r="C15" s="177" t="s">
        <v>446</v>
      </c>
      <c r="D15" s="177" t="s">
        <v>447</v>
      </c>
      <c r="E15" s="177" t="s">
        <v>448</v>
      </c>
      <c r="F15" s="177" t="s">
        <v>449</v>
      </c>
      <c r="G15" s="177" t="s">
        <v>450</v>
      </c>
      <c r="H15" s="177" t="s">
        <v>451</v>
      </c>
      <c r="I15" s="177" t="s">
        <v>437</v>
      </c>
      <c r="J15" s="177" t="s">
        <v>452</v>
      </c>
      <c r="K15" s="177" t="s">
        <v>453</v>
      </c>
      <c r="L15" s="177" t="s">
        <v>454</v>
      </c>
      <c r="M15" s="177" t="s">
        <v>455</v>
      </c>
      <c r="N15" s="179" t="s">
        <v>456</v>
      </c>
      <c r="O15" s="180" t="s">
        <v>457</v>
      </c>
      <c r="P15" s="180" t="s">
        <v>458</v>
      </c>
      <c r="Q15" s="180" t="s">
        <v>459</v>
      </c>
      <c r="R15" s="178" t="s">
        <v>440</v>
      </c>
      <c r="S15" s="180" t="s">
        <v>460</v>
      </c>
      <c r="T15" s="180" t="s">
        <v>461</v>
      </c>
      <c r="U15" s="178" t="s">
        <v>462</v>
      </c>
      <c r="V15" s="178" t="s">
        <v>463</v>
      </c>
      <c r="W15" s="178" t="s">
        <v>464</v>
      </c>
      <c r="X15" s="178" t="s">
        <v>465</v>
      </c>
      <c r="Y15" s="178" t="s">
        <v>466</v>
      </c>
      <c r="Z15" s="178" t="s">
        <v>467</v>
      </c>
    </row>
    <row r="16" spans="1:26" x14ac:dyDescent="0.25">
      <c r="B16" s="176"/>
      <c r="E16" s="176"/>
      <c r="F16" s="176"/>
      <c r="G16" s="176" t="s">
        <v>642</v>
      </c>
      <c r="H16" s="176" t="s">
        <v>643</v>
      </c>
      <c r="J16" s="176" t="s">
        <v>42</v>
      </c>
      <c r="K16" s="176" t="s">
        <v>644</v>
      </c>
      <c r="L16" s="1">
        <v>1</v>
      </c>
      <c r="M16" s="176" t="s">
        <v>645</v>
      </c>
      <c r="N16" s="90">
        <v>0</v>
      </c>
      <c r="O16" s="90">
        <v>0</v>
      </c>
      <c r="P16" s="90">
        <v>1700</v>
      </c>
      <c r="Q16" s="90">
        <v>1700</v>
      </c>
      <c r="R16" s="176" t="s">
        <v>438</v>
      </c>
      <c r="S16" s="90">
        <v>62</v>
      </c>
      <c r="T16" s="90">
        <v>1638</v>
      </c>
      <c r="U16" s="176" t="s">
        <v>646</v>
      </c>
      <c r="V16" s="176" t="s">
        <v>647</v>
      </c>
      <c r="W16" s="176"/>
      <c r="X16" s="176"/>
      <c r="Y16" s="90"/>
      <c r="Z16" s="90"/>
    </row>
    <row r="17" spans="1:26" x14ac:dyDescent="0.25">
      <c r="B17" s="176"/>
      <c r="E17" s="176"/>
      <c r="F17" s="176"/>
      <c r="G17" s="176" t="s">
        <v>642</v>
      </c>
      <c r="H17" s="176" t="s">
        <v>648</v>
      </c>
      <c r="J17" s="176" t="s">
        <v>42</v>
      </c>
      <c r="K17" s="176" t="s">
        <v>644</v>
      </c>
      <c r="L17" s="1">
        <v>1</v>
      </c>
      <c r="M17" s="176" t="s">
        <v>645</v>
      </c>
      <c r="N17" s="90">
        <v>0</v>
      </c>
      <c r="O17" s="90">
        <v>0</v>
      </c>
      <c r="P17" s="90">
        <v>5100</v>
      </c>
      <c r="Q17" s="90">
        <v>5100</v>
      </c>
      <c r="R17" s="176" t="s">
        <v>438</v>
      </c>
      <c r="S17" s="90">
        <v>114</v>
      </c>
      <c r="T17" s="90">
        <v>4986</v>
      </c>
      <c r="U17" s="176" t="s">
        <v>646</v>
      </c>
      <c r="V17" s="176" t="s">
        <v>647</v>
      </c>
      <c r="W17" s="176"/>
      <c r="X17" s="176"/>
      <c r="Y17" s="90"/>
      <c r="Z17" s="90"/>
    </row>
    <row r="18" spans="1:26" x14ac:dyDescent="0.25">
      <c r="B18" s="176"/>
      <c r="E18" s="176"/>
      <c r="F18" s="176"/>
      <c r="G18" s="176" t="s">
        <v>642</v>
      </c>
      <c r="H18" s="176" t="s">
        <v>649</v>
      </c>
      <c r="J18" s="176" t="s">
        <v>42</v>
      </c>
      <c r="K18" s="176" t="s">
        <v>644</v>
      </c>
      <c r="L18" s="1">
        <v>1</v>
      </c>
      <c r="M18" s="176" t="s">
        <v>645</v>
      </c>
      <c r="N18" s="90">
        <v>0</v>
      </c>
      <c r="O18" s="90">
        <v>0</v>
      </c>
      <c r="P18" s="90">
        <v>900</v>
      </c>
      <c r="Q18" s="90">
        <v>900</v>
      </c>
      <c r="R18" s="176" t="s">
        <v>438</v>
      </c>
      <c r="S18" s="90">
        <v>50</v>
      </c>
      <c r="T18" s="90">
        <v>850</v>
      </c>
      <c r="U18" s="176" t="s">
        <v>646</v>
      </c>
      <c r="V18" s="176" t="s">
        <v>647</v>
      </c>
      <c r="W18" s="176"/>
      <c r="X18" s="176"/>
      <c r="Y18" s="90"/>
      <c r="Z18" s="90"/>
    </row>
    <row r="19" spans="1:26" x14ac:dyDescent="0.25">
      <c r="B19" s="176"/>
      <c r="E19" s="176"/>
      <c r="F19" s="176"/>
      <c r="G19" s="176" t="s">
        <v>642</v>
      </c>
      <c r="H19" s="176" t="s">
        <v>650</v>
      </c>
      <c r="J19" s="176" t="s">
        <v>42</v>
      </c>
      <c r="K19" s="176" t="s">
        <v>644</v>
      </c>
      <c r="L19" s="1">
        <v>1</v>
      </c>
      <c r="M19" s="176" t="s">
        <v>645</v>
      </c>
      <c r="N19" s="38">
        <v>0</v>
      </c>
      <c r="O19" s="181">
        <v>0</v>
      </c>
      <c r="P19" s="181">
        <v>1700</v>
      </c>
      <c r="Q19" s="181">
        <v>1700</v>
      </c>
      <c r="R19" s="175" t="s">
        <v>438</v>
      </c>
      <c r="S19" s="181">
        <v>62</v>
      </c>
      <c r="T19" s="181">
        <v>1638</v>
      </c>
      <c r="U19" s="175" t="s">
        <v>646</v>
      </c>
      <c r="V19" s="175" t="s">
        <v>647</v>
      </c>
      <c r="W19" s="175"/>
      <c r="X19" s="175"/>
      <c r="Y19" s="175"/>
      <c r="Z19" s="175">
        <v>0</v>
      </c>
    </row>
    <row r="20" spans="1:26" x14ac:dyDescent="0.25">
      <c r="B20" s="176"/>
      <c r="E20" s="176"/>
      <c r="F20" s="176"/>
      <c r="G20" s="176" t="s">
        <v>642</v>
      </c>
      <c r="H20" s="176" t="s">
        <v>651</v>
      </c>
      <c r="J20" s="176" t="s">
        <v>42</v>
      </c>
      <c r="K20" s="176" t="s">
        <v>644</v>
      </c>
      <c r="L20" s="1">
        <v>1</v>
      </c>
      <c r="M20" s="176" t="s">
        <v>645</v>
      </c>
      <c r="N20" s="38">
        <v>0</v>
      </c>
      <c r="O20" s="181">
        <v>0</v>
      </c>
      <c r="P20" s="181">
        <v>53000</v>
      </c>
      <c r="Q20" s="181">
        <v>53000</v>
      </c>
      <c r="R20" s="175" t="s">
        <v>439</v>
      </c>
      <c r="S20" s="181">
        <v>856</v>
      </c>
      <c r="T20" s="181">
        <v>52144</v>
      </c>
      <c r="U20" s="175" t="s">
        <v>646</v>
      </c>
      <c r="V20" s="175" t="s">
        <v>647</v>
      </c>
      <c r="W20" s="175"/>
      <c r="X20" s="175"/>
      <c r="Y20" s="175"/>
      <c r="Z20" s="175">
        <v>0</v>
      </c>
    </row>
    <row r="21" spans="1:26" x14ac:dyDescent="0.25">
      <c r="B21" s="176"/>
      <c r="E21" s="176"/>
      <c r="F21" s="176"/>
      <c r="G21" s="176" t="s">
        <v>652</v>
      </c>
      <c r="H21" s="176" t="s">
        <v>653</v>
      </c>
      <c r="J21" s="176" t="s">
        <v>42</v>
      </c>
      <c r="K21" s="176" t="s">
        <v>644</v>
      </c>
      <c r="L21" s="1">
        <v>1</v>
      </c>
      <c r="M21" s="176" t="s">
        <v>645</v>
      </c>
      <c r="N21" s="38">
        <v>0</v>
      </c>
      <c r="O21" s="181">
        <v>0</v>
      </c>
      <c r="P21" s="181">
        <v>500</v>
      </c>
      <c r="Q21" s="181">
        <v>500</v>
      </c>
      <c r="R21" s="175" t="s">
        <v>438</v>
      </c>
      <c r="S21" s="181">
        <v>44</v>
      </c>
      <c r="T21" s="181">
        <v>456</v>
      </c>
      <c r="U21" s="175" t="s">
        <v>646</v>
      </c>
      <c r="V21" s="175" t="s">
        <v>647</v>
      </c>
      <c r="W21" s="175"/>
      <c r="X21" s="175"/>
      <c r="Y21" s="175"/>
      <c r="Z21" s="175">
        <v>0</v>
      </c>
    </row>
    <row r="22" spans="1:26" x14ac:dyDescent="0.25">
      <c r="B22" s="176"/>
      <c r="E22" s="176"/>
      <c r="F22" s="176"/>
      <c r="G22" s="176" t="s">
        <v>652</v>
      </c>
      <c r="H22" s="176" t="s">
        <v>654</v>
      </c>
      <c r="J22" s="176" t="s">
        <v>42</v>
      </c>
      <c r="K22" s="176" t="s">
        <v>644</v>
      </c>
      <c r="L22" s="1">
        <v>1</v>
      </c>
      <c r="M22" s="176" t="s">
        <v>645</v>
      </c>
      <c r="N22" s="38">
        <v>0</v>
      </c>
      <c r="O22" s="181">
        <v>0</v>
      </c>
      <c r="P22" s="181">
        <v>1500</v>
      </c>
      <c r="Q22" s="181">
        <v>1500</v>
      </c>
      <c r="R22" s="175" t="s">
        <v>438</v>
      </c>
      <c r="S22" s="181">
        <v>60</v>
      </c>
      <c r="T22" s="181">
        <v>1440</v>
      </c>
      <c r="U22" s="175" t="s">
        <v>646</v>
      </c>
      <c r="V22" s="175" t="s">
        <v>647</v>
      </c>
      <c r="W22" s="175"/>
      <c r="X22" s="175"/>
      <c r="Y22" s="175"/>
      <c r="Z22" s="175">
        <v>0</v>
      </c>
    </row>
    <row r="23" spans="1:26" x14ac:dyDescent="0.25">
      <c r="B23" s="176"/>
      <c r="E23" s="176"/>
      <c r="F23" s="176"/>
      <c r="G23" s="176" t="s">
        <v>642</v>
      </c>
      <c r="H23" s="176" t="s">
        <v>655</v>
      </c>
      <c r="J23" s="176" t="s">
        <v>42</v>
      </c>
      <c r="K23" s="176" t="s">
        <v>644</v>
      </c>
      <c r="L23" s="1">
        <v>1</v>
      </c>
      <c r="M23" s="176" t="s">
        <v>645</v>
      </c>
      <c r="N23" s="38">
        <v>0</v>
      </c>
      <c r="O23" s="181">
        <v>0</v>
      </c>
      <c r="P23" s="181">
        <v>1700</v>
      </c>
      <c r="Q23" s="181">
        <v>1700</v>
      </c>
      <c r="R23" s="175" t="s">
        <v>438</v>
      </c>
      <c r="S23" s="181">
        <v>62</v>
      </c>
      <c r="T23" s="181">
        <v>1638</v>
      </c>
      <c r="U23" s="175" t="s">
        <v>646</v>
      </c>
      <c r="V23" s="175" t="s">
        <v>647</v>
      </c>
      <c r="W23" s="175"/>
      <c r="X23" s="175"/>
      <c r="Y23" s="175"/>
      <c r="Z23" s="175">
        <v>0</v>
      </c>
    </row>
    <row r="24" spans="1:26" x14ac:dyDescent="0.25">
      <c r="B24" s="176"/>
      <c r="E24" s="176"/>
      <c r="F24" s="176"/>
      <c r="G24" s="176" t="s">
        <v>642</v>
      </c>
      <c r="H24" s="176" t="s">
        <v>656</v>
      </c>
      <c r="J24" s="176" t="s">
        <v>42</v>
      </c>
      <c r="K24" s="176" t="s">
        <v>644</v>
      </c>
      <c r="L24" s="1">
        <v>1</v>
      </c>
      <c r="M24" s="176" t="s">
        <v>645</v>
      </c>
      <c r="N24" s="38">
        <v>0</v>
      </c>
      <c r="O24" s="181">
        <v>0</v>
      </c>
      <c r="P24" s="181">
        <v>1700</v>
      </c>
      <c r="Q24" s="181">
        <v>1700</v>
      </c>
      <c r="R24" s="175" t="s">
        <v>438</v>
      </c>
      <c r="S24" s="181">
        <v>62</v>
      </c>
      <c r="T24" s="181">
        <v>1638</v>
      </c>
      <c r="U24" s="175" t="s">
        <v>657</v>
      </c>
      <c r="V24" s="175" t="s">
        <v>647</v>
      </c>
      <c r="W24" s="175"/>
      <c r="X24" s="175"/>
      <c r="Y24" s="175"/>
      <c r="Z24" s="175">
        <v>0</v>
      </c>
    </row>
    <row r="25" spans="1:26" x14ac:dyDescent="0.25">
      <c r="A25" s="175"/>
      <c r="B25" s="175"/>
      <c r="C25" s="175"/>
      <c r="D25" s="175"/>
      <c r="E25" s="175"/>
      <c r="F25" s="175"/>
      <c r="G25" s="175" t="s">
        <v>642</v>
      </c>
      <c r="H25" s="175" t="s">
        <v>658</v>
      </c>
      <c r="I25" s="175"/>
      <c r="J25" s="175" t="s">
        <v>42</v>
      </c>
      <c r="K25" s="175" t="s">
        <v>644</v>
      </c>
      <c r="L25" s="175">
        <v>1</v>
      </c>
      <c r="M25" s="175" t="s">
        <v>645</v>
      </c>
      <c r="N25" s="181">
        <v>0</v>
      </c>
      <c r="O25" s="181">
        <v>0</v>
      </c>
      <c r="P25" s="181">
        <v>1700</v>
      </c>
      <c r="Q25" s="181">
        <v>1700</v>
      </c>
      <c r="R25" s="175" t="s">
        <v>438</v>
      </c>
      <c r="S25" s="181">
        <v>62</v>
      </c>
      <c r="T25" s="181">
        <v>1638</v>
      </c>
      <c r="U25" s="175" t="s">
        <v>657</v>
      </c>
      <c r="V25" s="175" t="s">
        <v>647</v>
      </c>
      <c r="W25" s="175"/>
      <c r="X25" s="175"/>
      <c r="Y25" s="175"/>
      <c r="Z25" s="175"/>
    </row>
    <row r="26" spans="1:26" x14ac:dyDescent="0.25">
      <c r="A26" s="175"/>
      <c r="B26" s="175"/>
      <c r="C26" s="175"/>
      <c r="D26" s="175"/>
      <c r="E26" s="175"/>
      <c r="F26" s="175"/>
      <c r="G26" s="175" t="s">
        <v>642</v>
      </c>
      <c r="H26" s="175" t="s">
        <v>659</v>
      </c>
      <c r="I26" s="175"/>
      <c r="J26" s="175" t="s">
        <v>42</v>
      </c>
      <c r="K26" s="175" t="s">
        <v>644</v>
      </c>
      <c r="L26" s="175">
        <v>1</v>
      </c>
      <c r="M26" s="175" t="s">
        <v>645</v>
      </c>
      <c r="N26" s="181">
        <v>0</v>
      </c>
      <c r="O26" s="181">
        <v>0</v>
      </c>
      <c r="P26" s="181">
        <v>2000</v>
      </c>
      <c r="Q26" s="181">
        <v>2000</v>
      </c>
      <c r="R26" s="175" t="s">
        <v>438</v>
      </c>
      <c r="S26" s="181">
        <v>67</v>
      </c>
      <c r="T26" s="181">
        <v>1933</v>
      </c>
      <c r="U26" s="175" t="s">
        <v>657</v>
      </c>
      <c r="V26" s="175" t="s">
        <v>647</v>
      </c>
      <c r="W26" s="175"/>
      <c r="X26" s="175"/>
      <c r="Y26" s="175"/>
      <c r="Z26" s="175"/>
    </row>
    <row r="27" spans="1:26" x14ac:dyDescent="0.25">
      <c r="A27" s="175"/>
      <c r="B27" s="175"/>
      <c r="C27" s="175"/>
      <c r="D27" s="175"/>
      <c r="E27" s="175"/>
      <c r="F27" s="175"/>
      <c r="G27" s="175" t="s">
        <v>642</v>
      </c>
      <c r="H27" s="175" t="s">
        <v>660</v>
      </c>
      <c r="I27" s="175"/>
      <c r="J27" s="175" t="s">
        <v>42</v>
      </c>
      <c r="K27" s="175" t="s">
        <v>644</v>
      </c>
      <c r="L27" s="175">
        <v>1</v>
      </c>
      <c r="M27" s="175" t="s">
        <v>645</v>
      </c>
      <c r="N27" s="181">
        <v>0</v>
      </c>
      <c r="O27" s="181">
        <v>0</v>
      </c>
      <c r="P27" s="181">
        <v>2400</v>
      </c>
      <c r="Q27" s="181">
        <v>2400</v>
      </c>
      <c r="R27" s="175" t="s">
        <v>438</v>
      </c>
      <c r="S27" s="181">
        <v>73</v>
      </c>
      <c r="T27" s="181">
        <v>2327</v>
      </c>
      <c r="U27" s="175" t="s">
        <v>657</v>
      </c>
      <c r="V27" s="175" t="s">
        <v>647</v>
      </c>
      <c r="W27" s="175"/>
      <c r="X27" s="175"/>
      <c r="Y27" s="175"/>
      <c r="Z27" s="175"/>
    </row>
    <row r="28" spans="1:26" x14ac:dyDescent="0.25">
      <c r="A28" s="175"/>
      <c r="B28" s="175"/>
      <c r="C28" s="175"/>
      <c r="D28" s="175"/>
      <c r="E28" s="175"/>
      <c r="F28" s="175"/>
      <c r="G28" s="175" t="s">
        <v>642</v>
      </c>
      <c r="H28" s="175" t="s">
        <v>661</v>
      </c>
      <c r="I28" s="175"/>
      <c r="J28" s="175" t="s">
        <v>42</v>
      </c>
      <c r="K28" s="175" t="s">
        <v>644</v>
      </c>
      <c r="L28" s="175">
        <v>1</v>
      </c>
      <c r="M28" s="175" t="s">
        <v>645</v>
      </c>
      <c r="N28" s="181">
        <v>0</v>
      </c>
      <c r="O28" s="181">
        <v>0</v>
      </c>
      <c r="P28" s="181">
        <v>1700</v>
      </c>
      <c r="Q28" s="181">
        <v>1700</v>
      </c>
      <c r="R28" s="175" t="s">
        <v>438</v>
      </c>
      <c r="S28" s="181">
        <v>62</v>
      </c>
      <c r="T28" s="181">
        <v>1638</v>
      </c>
      <c r="U28" s="175" t="s">
        <v>657</v>
      </c>
      <c r="V28" s="175" t="s">
        <v>647</v>
      </c>
      <c r="W28" s="175"/>
      <c r="X28" s="175"/>
      <c r="Y28" s="175"/>
      <c r="Z28" s="175"/>
    </row>
    <row r="29" spans="1:26" x14ac:dyDescent="0.25">
      <c r="A29" s="175"/>
      <c r="B29" s="175"/>
      <c r="C29" s="175"/>
      <c r="D29" s="175"/>
      <c r="E29" s="175"/>
      <c r="F29" s="175"/>
      <c r="G29" s="175" t="s">
        <v>642</v>
      </c>
      <c r="H29" s="175" t="s">
        <v>662</v>
      </c>
      <c r="I29" s="175"/>
      <c r="J29" s="175" t="s">
        <v>42</v>
      </c>
      <c r="K29" s="175" t="s">
        <v>644</v>
      </c>
      <c r="L29" s="175">
        <v>1</v>
      </c>
      <c r="M29" s="175" t="s">
        <v>645</v>
      </c>
      <c r="N29" s="181">
        <v>0</v>
      </c>
      <c r="O29" s="181">
        <v>0</v>
      </c>
      <c r="P29" s="181">
        <v>3400</v>
      </c>
      <c r="Q29" s="181">
        <v>3400</v>
      </c>
      <c r="R29" s="175" t="s">
        <v>438</v>
      </c>
      <c r="S29" s="181">
        <v>88</v>
      </c>
      <c r="T29" s="181">
        <v>3312</v>
      </c>
      <c r="U29" s="175" t="s">
        <v>657</v>
      </c>
      <c r="V29" s="175" t="s">
        <v>647</v>
      </c>
      <c r="W29" s="175"/>
      <c r="X29" s="175"/>
      <c r="Y29" s="175"/>
      <c r="Z29" s="175"/>
    </row>
    <row r="30" spans="1:26" x14ac:dyDescent="0.25">
      <c r="A30" s="175"/>
      <c r="B30" s="175"/>
      <c r="C30" s="175"/>
      <c r="D30" s="175"/>
      <c r="E30" s="175"/>
      <c r="F30" s="175"/>
      <c r="G30" s="175" t="s">
        <v>642</v>
      </c>
      <c r="H30" s="175" t="s">
        <v>663</v>
      </c>
      <c r="I30" s="175"/>
      <c r="J30" s="175" t="s">
        <v>42</v>
      </c>
      <c r="K30" s="175" t="s">
        <v>644</v>
      </c>
      <c r="L30" s="175">
        <v>1</v>
      </c>
      <c r="M30" s="175" t="s">
        <v>645</v>
      </c>
      <c r="N30" s="181">
        <v>0</v>
      </c>
      <c r="O30" s="181">
        <v>0</v>
      </c>
      <c r="P30" s="181">
        <v>800</v>
      </c>
      <c r="Q30" s="181">
        <v>800</v>
      </c>
      <c r="R30" s="175" t="s">
        <v>438</v>
      </c>
      <c r="S30" s="181">
        <v>48</v>
      </c>
      <c r="T30" s="181">
        <v>752</v>
      </c>
      <c r="U30" s="175" t="s">
        <v>657</v>
      </c>
      <c r="V30" s="175" t="s">
        <v>647</v>
      </c>
      <c r="W30" s="175"/>
      <c r="X30" s="175"/>
      <c r="Y30" s="175"/>
      <c r="Z30" s="175"/>
    </row>
    <row r="31" spans="1:26" x14ac:dyDescent="0.25">
      <c r="A31" s="175"/>
      <c r="B31" s="175"/>
      <c r="C31" s="175"/>
      <c r="D31" s="175"/>
      <c r="E31" s="175"/>
      <c r="F31" s="175"/>
      <c r="G31" s="175" t="s">
        <v>642</v>
      </c>
      <c r="H31" s="175" t="s">
        <v>664</v>
      </c>
      <c r="I31" s="175"/>
      <c r="J31" s="175" t="s">
        <v>42</v>
      </c>
      <c r="K31" s="175" t="s">
        <v>644</v>
      </c>
      <c r="L31" s="175">
        <v>1</v>
      </c>
      <c r="M31" s="175" t="s">
        <v>645</v>
      </c>
      <c r="N31" s="181">
        <v>0</v>
      </c>
      <c r="O31" s="181">
        <v>0</v>
      </c>
      <c r="P31" s="181">
        <v>2500</v>
      </c>
      <c r="Q31" s="181">
        <v>2500</v>
      </c>
      <c r="R31" s="175" t="s">
        <v>438</v>
      </c>
      <c r="S31" s="181">
        <v>75</v>
      </c>
      <c r="T31" s="181">
        <v>2425</v>
      </c>
      <c r="U31" s="175" t="s">
        <v>657</v>
      </c>
      <c r="V31" s="175" t="s">
        <v>647</v>
      </c>
      <c r="W31" s="175"/>
      <c r="X31" s="175"/>
      <c r="Y31" s="175"/>
      <c r="Z31" s="175"/>
    </row>
    <row r="32" spans="1:26" x14ac:dyDescent="0.25">
      <c r="A32" s="175"/>
      <c r="B32" s="175"/>
      <c r="C32" s="175"/>
      <c r="D32" s="175"/>
      <c r="E32" s="175"/>
      <c r="F32" s="175"/>
      <c r="G32" s="175" t="s">
        <v>652</v>
      </c>
      <c r="H32" s="175" t="s">
        <v>665</v>
      </c>
      <c r="I32" s="175"/>
      <c r="J32" s="175" t="s">
        <v>42</v>
      </c>
      <c r="K32" s="175" t="s">
        <v>644</v>
      </c>
      <c r="L32" s="175">
        <v>1</v>
      </c>
      <c r="M32" s="175" t="s">
        <v>645</v>
      </c>
      <c r="N32" s="181">
        <v>0</v>
      </c>
      <c r="O32" s="181">
        <v>0</v>
      </c>
      <c r="P32" s="181">
        <v>62000</v>
      </c>
      <c r="Q32" s="181">
        <v>62000</v>
      </c>
      <c r="R32" s="175" t="s">
        <v>439</v>
      </c>
      <c r="S32" s="181">
        <v>995</v>
      </c>
      <c r="T32" s="181">
        <v>61005</v>
      </c>
      <c r="U32" s="175" t="s">
        <v>657</v>
      </c>
      <c r="V32" s="175" t="s">
        <v>647</v>
      </c>
      <c r="W32" s="175"/>
      <c r="X32" s="175"/>
      <c r="Y32" s="175"/>
      <c r="Z32" s="175"/>
    </row>
    <row r="33" spans="1:26" x14ac:dyDescent="0.25">
      <c r="A33" s="175"/>
      <c r="B33" s="175"/>
      <c r="C33" s="175"/>
      <c r="D33" s="175"/>
      <c r="E33" s="175"/>
      <c r="F33" s="175"/>
      <c r="G33" s="175" t="s">
        <v>642</v>
      </c>
      <c r="H33" s="175" t="s">
        <v>666</v>
      </c>
      <c r="I33" s="175"/>
      <c r="J33" s="175" t="s">
        <v>42</v>
      </c>
      <c r="K33" s="175" t="s">
        <v>644</v>
      </c>
      <c r="L33" s="175">
        <v>1</v>
      </c>
      <c r="M33" s="175" t="s">
        <v>645</v>
      </c>
      <c r="N33" s="181">
        <v>0</v>
      </c>
      <c r="O33" s="181">
        <v>0</v>
      </c>
      <c r="P33" s="181">
        <v>800</v>
      </c>
      <c r="Q33" s="181">
        <v>800</v>
      </c>
      <c r="R33" s="175" t="s">
        <v>438</v>
      </c>
      <c r="S33" s="181">
        <v>326</v>
      </c>
      <c r="T33" s="181">
        <v>474</v>
      </c>
      <c r="U33" s="175" t="s">
        <v>667</v>
      </c>
      <c r="V33" s="175" t="s">
        <v>647</v>
      </c>
      <c r="W33" s="175"/>
      <c r="X33" s="175"/>
      <c r="Y33" s="175"/>
      <c r="Z33" s="175"/>
    </row>
    <row r="34" spans="1:26" x14ac:dyDescent="0.25">
      <c r="A34" s="175"/>
      <c r="B34" s="175"/>
      <c r="C34" s="175"/>
      <c r="D34" s="175"/>
      <c r="E34" s="175"/>
      <c r="F34" s="175"/>
      <c r="G34" s="175" t="s">
        <v>642</v>
      </c>
      <c r="H34" s="175" t="s">
        <v>668</v>
      </c>
      <c r="I34" s="175"/>
      <c r="J34" s="175" t="s">
        <v>42</v>
      </c>
      <c r="K34" s="175" t="s">
        <v>644</v>
      </c>
      <c r="L34" s="175">
        <v>1</v>
      </c>
      <c r="M34" s="175" t="s">
        <v>645</v>
      </c>
      <c r="N34" s="181">
        <v>0</v>
      </c>
      <c r="O34" s="181">
        <v>0</v>
      </c>
      <c r="P34" s="181">
        <v>1700</v>
      </c>
      <c r="Q34" s="181">
        <v>1700</v>
      </c>
      <c r="R34" s="175" t="s">
        <v>438</v>
      </c>
      <c r="S34" s="181">
        <v>62</v>
      </c>
      <c r="T34" s="181">
        <v>1638</v>
      </c>
      <c r="U34" s="175" t="s">
        <v>667</v>
      </c>
      <c r="V34" s="175" t="s">
        <v>647</v>
      </c>
      <c r="W34" s="175"/>
      <c r="X34" s="175"/>
      <c r="Y34" s="175"/>
      <c r="Z34" s="175"/>
    </row>
    <row r="35" spans="1:26" x14ac:dyDescent="0.25">
      <c r="A35" s="175"/>
      <c r="B35" s="175"/>
      <c r="C35" s="175"/>
      <c r="D35" s="175"/>
      <c r="E35" s="175"/>
      <c r="F35" s="175"/>
      <c r="G35" s="175" t="s">
        <v>642</v>
      </c>
      <c r="H35" s="175" t="s">
        <v>669</v>
      </c>
      <c r="I35" s="175"/>
      <c r="J35" s="175" t="s">
        <v>42</v>
      </c>
      <c r="K35" s="175" t="s">
        <v>644</v>
      </c>
      <c r="L35" s="175">
        <v>1</v>
      </c>
      <c r="M35" s="175" t="s">
        <v>645</v>
      </c>
      <c r="N35" s="181">
        <v>0</v>
      </c>
      <c r="O35" s="181">
        <v>0</v>
      </c>
      <c r="P35" s="181">
        <v>42400</v>
      </c>
      <c r="Q35" s="181">
        <v>42400</v>
      </c>
      <c r="R35" s="175" t="s">
        <v>439</v>
      </c>
      <c r="S35" s="181">
        <v>691</v>
      </c>
      <c r="T35" s="181">
        <v>41709</v>
      </c>
      <c r="U35" s="175" t="s">
        <v>667</v>
      </c>
      <c r="V35" s="175" t="s">
        <v>647</v>
      </c>
      <c r="W35" s="175"/>
      <c r="X35" s="175"/>
      <c r="Y35" s="175"/>
      <c r="Z35" s="175"/>
    </row>
    <row r="36" spans="1:26" x14ac:dyDescent="0.25">
      <c r="A36" s="175"/>
      <c r="B36" s="175"/>
      <c r="C36" s="175"/>
      <c r="D36" s="175"/>
      <c r="E36" s="175"/>
      <c r="F36" s="175"/>
      <c r="G36" s="175" t="s">
        <v>642</v>
      </c>
      <c r="H36" s="175" t="s">
        <v>670</v>
      </c>
      <c r="I36" s="175"/>
      <c r="J36" s="175" t="s">
        <v>42</v>
      </c>
      <c r="K36" s="175" t="s">
        <v>644</v>
      </c>
      <c r="L36" s="175">
        <v>1</v>
      </c>
      <c r="M36" s="175" t="s">
        <v>645</v>
      </c>
      <c r="N36" s="181">
        <v>0</v>
      </c>
      <c r="O36" s="181">
        <v>0</v>
      </c>
      <c r="P36" s="181">
        <v>800</v>
      </c>
      <c r="Q36" s="181">
        <v>800</v>
      </c>
      <c r="R36" s="175" t="s">
        <v>438</v>
      </c>
      <c r="S36" s="181">
        <v>48</v>
      </c>
      <c r="T36" s="181">
        <v>752</v>
      </c>
      <c r="U36" s="175" t="s">
        <v>667</v>
      </c>
      <c r="V36" s="175" t="s">
        <v>647</v>
      </c>
      <c r="W36" s="175"/>
      <c r="X36" s="175"/>
      <c r="Y36" s="175"/>
      <c r="Z36" s="175"/>
    </row>
    <row r="37" spans="1:26" x14ac:dyDescent="0.25">
      <c r="A37" s="175"/>
      <c r="B37" s="175"/>
      <c r="C37" s="175"/>
      <c r="D37" s="175"/>
      <c r="E37" s="175"/>
      <c r="F37" s="175"/>
      <c r="G37" s="175" t="s">
        <v>652</v>
      </c>
      <c r="H37" s="175" t="s">
        <v>671</v>
      </c>
      <c r="I37" s="175"/>
      <c r="J37" s="175" t="s">
        <v>42</v>
      </c>
      <c r="K37" s="175" t="s">
        <v>644</v>
      </c>
      <c r="L37" s="175">
        <v>1</v>
      </c>
      <c r="M37" s="175" t="s">
        <v>645</v>
      </c>
      <c r="N37" s="181">
        <v>0</v>
      </c>
      <c r="O37" s="181">
        <v>0</v>
      </c>
      <c r="P37" s="181">
        <v>800</v>
      </c>
      <c r="Q37" s="181">
        <v>800</v>
      </c>
      <c r="R37" s="175" t="s">
        <v>438</v>
      </c>
      <c r="S37" s="181">
        <v>48</v>
      </c>
      <c r="T37" s="181">
        <v>752</v>
      </c>
      <c r="U37" s="175" t="s">
        <v>667</v>
      </c>
      <c r="V37" s="175" t="s">
        <v>647</v>
      </c>
      <c r="W37" s="175"/>
      <c r="X37" s="175"/>
      <c r="Y37" s="175"/>
      <c r="Z37" s="175"/>
    </row>
    <row r="38" spans="1:26" x14ac:dyDescent="0.25">
      <c r="A38" s="175"/>
      <c r="B38" s="175"/>
      <c r="C38" s="175"/>
      <c r="D38" s="175"/>
      <c r="E38" s="175"/>
      <c r="F38" s="175"/>
      <c r="G38" s="175" t="s">
        <v>642</v>
      </c>
      <c r="H38" s="175" t="s">
        <v>672</v>
      </c>
      <c r="I38" s="175"/>
      <c r="J38" s="175" t="s">
        <v>42</v>
      </c>
      <c r="K38" s="175" t="s">
        <v>644</v>
      </c>
      <c r="L38" s="175">
        <v>1</v>
      </c>
      <c r="M38" s="175" t="s">
        <v>645</v>
      </c>
      <c r="N38" s="181">
        <v>0</v>
      </c>
      <c r="O38" s="181">
        <v>0</v>
      </c>
      <c r="P38" s="181">
        <v>800</v>
      </c>
      <c r="Q38" s="181">
        <v>800</v>
      </c>
      <c r="R38" s="175" t="s">
        <v>438</v>
      </c>
      <c r="S38" s="181">
        <v>48</v>
      </c>
      <c r="T38" s="181">
        <v>752</v>
      </c>
      <c r="U38" s="175" t="s">
        <v>667</v>
      </c>
      <c r="V38" s="175" t="s">
        <v>647</v>
      </c>
      <c r="W38" s="175"/>
      <c r="X38" s="175"/>
      <c r="Y38" s="175"/>
      <c r="Z38" s="175"/>
    </row>
    <row r="39" spans="1:26" x14ac:dyDescent="0.25">
      <c r="A39" s="175"/>
      <c r="B39" s="175"/>
      <c r="C39" s="175"/>
      <c r="D39" s="175"/>
      <c r="E39" s="175"/>
      <c r="F39" s="175"/>
      <c r="G39" s="175" t="s">
        <v>642</v>
      </c>
      <c r="H39" s="175" t="s">
        <v>673</v>
      </c>
      <c r="I39" s="175"/>
      <c r="J39" s="175" t="s">
        <v>42</v>
      </c>
      <c r="K39" s="175" t="s">
        <v>644</v>
      </c>
      <c r="L39" s="175">
        <v>1</v>
      </c>
      <c r="M39" s="175" t="s">
        <v>645</v>
      </c>
      <c r="N39" s="181">
        <v>0</v>
      </c>
      <c r="O39" s="181">
        <v>0</v>
      </c>
      <c r="P39" s="181">
        <v>62000</v>
      </c>
      <c r="Q39" s="181">
        <v>62000</v>
      </c>
      <c r="R39" s="175" t="s">
        <v>439</v>
      </c>
      <c r="S39" s="181">
        <v>995</v>
      </c>
      <c r="T39" s="181">
        <v>61005</v>
      </c>
      <c r="U39" s="175" t="s">
        <v>667</v>
      </c>
      <c r="V39" s="175" t="s">
        <v>647</v>
      </c>
      <c r="W39" s="175"/>
      <c r="X39" s="175"/>
      <c r="Y39" s="175"/>
      <c r="Z39" s="175"/>
    </row>
    <row r="40" spans="1:26" x14ac:dyDescent="0.25">
      <c r="A40" s="175"/>
      <c r="B40" s="175"/>
      <c r="C40" s="175"/>
      <c r="D40" s="175"/>
      <c r="E40" s="175"/>
      <c r="F40" s="175"/>
      <c r="G40" s="175" t="s">
        <v>642</v>
      </c>
      <c r="H40" s="175" t="s">
        <v>674</v>
      </c>
      <c r="I40" s="175"/>
      <c r="J40" s="175" t="s">
        <v>42</v>
      </c>
      <c r="K40" s="175" t="s">
        <v>644</v>
      </c>
      <c r="L40" s="175">
        <v>1</v>
      </c>
      <c r="M40" s="175" t="s">
        <v>645</v>
      </c>
      <c r="N40" s="181">
        <v>0</v>
      </c>
      <c r="O40" s="181">
        <v>0</v>
      </c>
      <c r="P40" s="181">
        <v>1700</v>
      </c>
      <c r="Q40" s="181">
        <v>1700</v>
      </c>
      <c r="R40" s="175" t="s">
        <v>438</v>
      </c>
      <c r="S40" s="181">
        <v>62</v>
      </c>
      <c r="T40" s="181">
        <v>1638</v>
      </c>
      <c r="U40" s="175" t="s">
        <v>667</v>
      </c>
      <c r="V40" s="175" t="s">
        <v>647</v>
      </c>
      <c r="W40" s="175"/>
      <c r="X40" s="175"/>
      <c r="Y40" s="175"/>
      <c r="Z40" s="175"/>
    </row>
    <row r="41" spans="1:26" x14ac:dyDescent="0.25">
      <c r="A41" s="175"/>
      <c r="B41" s="175"/>
      <c r="C41" s="175"/>
      <c r="D41" s="175"/>
      <c r="E41" s="175"/>
      <c r="F41" s="175"/>
      <c r="G41" s="175" t="s">
        <v>642</v>
      </c>
      <c r="H41" s="175" t="s">
        <v>675</v>
      </c>
      <c r="I41" s="175"/>
      <c r="J41" s="175" t="s">
        <v>42</v>
      </c>
      <c r="K41" s="175" t="s">
        <v>644</v>
      </c>
      <c r="L41" s="175">
        <v>1</v>
      </c>
      <c r="M41" s="175" t="s">
        <v>645</v>
      </c>
      <c r="N41" s="181">
        <v>0</v>
      </c>
      <c r="O41" s="181">
        <v>0</v>
      </c>
      <c r="P41" s="181">
        <v>500</v>
      </c>
      <c r="Q41" s="181">
        <v>500</v>
      </c>
      <c r="R41" s="175" t="s">
        <v>438</v>
      </c>
      <c r="S41" s="181">
        <v>44</v>
      </c>
      <c r="T41" s="181">
        <v>456</v>
      </c>
      <c r="U41" s="175" t="s">
        <v>667</v>
      </c>
      <c r="V41" s="175" t="s">
        <v>647</v>
      </c>
      <c r="W41" s="175"/>
      <c r="X41" s="175"/>
      <c r="Y41" s="175"/>
      <c r="Z41" s="175"/>
    </row>
    <row r="42" spans="1:26" x14ac:dyDescent="0.25">
      <c r="A42" s="175"/>
      <c r="B42" s="175"/>
      <c r="C42" s="175"/>
      <c r="D42" s="175"/>
      <c r="E42" s="175"/>
      <c r="F42" s="175"/>
      <c r="G42" s="175" t="s">
        <v>642</v>
      </c>
      <c r="H42" s="175" t="s">
        <v>676</v>
      </c>
      <c r="I42" s="175"/>
      <c r="J42" s="175" t="s">
        <v>42</v>
      </c>
      <c r="K42" s="175" t="s">
        <v>644</v>
      </c>
      <c r="L42" s="175">
        <v>1</v>
      </c>
      <c r="M42" s="175" t="s">
        <v>645</v>
      </c>
      <c r="N42" s="181">
        <v>0</v>
      </c>
      <c r="O42" s="181">
        <v>0</v>
      </c>
      <c r="P42" s="181">
        <v>10700</v>
      </c>
      <c r="Q42" s="181">
        <v>10700</v>
      </c>
      <c r="R42" s="175" t="s">
        <v>439</v>
      </c>
      <c r="S42" s="181">
        <v>201</v>
      </c>
      <c r="T42" s="181">
        <v>10499</v>
      </c>
      <c r="U42" s="175" t="s">
        <v>677</v>
      </c>
      <c r="V42" s="175" t="s">
        <v>647</v>
      </c>
      <c r="W42" s="175"/>
      <c r="X42" s="175"/>
      <c r="Y42" s="175"/>
      <c r="Z42" s="175"/>
    </row>
    <row r="43" spans="1:26" x14ac:dyDescent="0.25">
      <c r="A43" s="175"/>
      <c r="B43" s="175"/>
      <c r="C43" s="175"/>
      <c r="D43" s="175"/>
      <c r="E43" s="175"/>
      <c r="F43" s="175"/>
      <c r="G43" s="175" t="s">
        <v>652</v>
      </c>
      <c r="H43" s="175" t="s">
        <v>678</v>
      </c>
      <c r="I43" s="175"/>
      <c r="J43" s="175" t="s">
        <v>42</v>
      </c>
      <c r="K43" s="175" t="s">
        <v>644</v>
      </c>
      <c r="L43" s="175">
        <v>1</v>
      </c>
      <c r="M43" s="175" t="s">
        <v>645</v>
      </c>
      <c r="N43" s="181">
        <v>0</v>
      </c>
      <c r="O43" s="181">
        <v>0</v>
      </c>
      <c r="P43" s="181">
        <v>4500</v>
      </c>
      <c r="Q43" s="181">
        <v>4500</v>
      </c>
      <c r="R43" s="175" t="s">
        <v>439</v>
      </c>
      <c r="S43" s="181">
        <v>106</v>
      </c>
      <c r="T43" s="181">
        <v>4394</v>
      </c>
      <c r="U43" s="175" t="s">
        <v>677</v>
      </c>
      <c r="V43" s="175" t="s">
        <v>647</v>
      </c>
      <c r="W43" s="175"/>
      <c r="X43" s="175"/>
      <c r="Y43" s="175"/>
      <c r="Z43" s="175"/>
    </row>
    <row r="44" spans="1:26" x14ac:dyDescent="0.25">
      <c r="A44" s="175"/>
      <c r="B44" s="175"/>
      <c r="C44" s="175"/>
      <c r="D44" s="175"/>
      <c r="E44" s="175"/>
      <c r="F44" s="175"/>
      <c r="G44" s="175" t="s">
        <v>642</v>
      </c>
      <c r="H44" s="175" t="s">
        <v>679</v>
      </c>
      <c r="I44" s="175"/>
      <c r="J44" s="175" t="s">
        <v>42</v>
      </c>
      <c r="K44" s="175" t="s">
        <v>644</v>
      </c>
      <c r="L44" s="175">
        <v>1</v>
      </c>
      <c r="M44" s="175" t="s">
        <v>645</v>
      </c>
      <c r="N44" s="181">
        <v>0</v>
      </c>
      <c r="O44" s="181">
        <v>0</v>
      </c>
      <c r="P44" s="181">
        <v>4500</v>
      </c>
      <c r="Q44" s="181">
        <v>4500</v>
      </c>
      <c r="R44" s="175" t="s">
        <v>439</v>
      </c>
      <c r="S44" s="181">
        <v>106</v>
      </c>
      <c r="T44" s="181">
        <v>4394</v>
      </c>
      <c r="U44" s="175" t="s">
        <v>677</v>
      </c>
      <c r="V44" s="175" t="s">
        <v>647</v>
      </c>
      <c r="W44" s="175"/>
      <c r="X44" s="175"/>
      <c r="Y44" s="175"/>
      <c r="Z44" s="175"/>
    </row>
    <row r="45" spans="1:26" x14ac:dyDescent="0.25">
      <c r="A45" s="175"/>
      <c r="B45" s="175"/>
      <c r="C45" s="175"/>
      <c r="D45" s="175"/>
      <c r="E45" s="175"/>
      <c r="F45" s="175"/>
      <c r="G45" s="175" t="s">
        <v>642</v>
      </c>
      <c r="H45" s="175" t="s">
        <v>680</v>
      </c>
      <c r="I45" s="175"/>
      <c r="J45" s="175" t="s">
        <v>42</v>
      </c>
      <c r="K45" s="175" t="s">
        <v>644</v>
      </c>
      <c r="L45" s="175">
        <v>1</v>
      </c>
      <c r="M45" s="175" t="s">
        <v>645</v>
      </c>
      <c r="N45" s="181">
        <v>0</v>
      </c>
      <c r="O45" s="181">
        <v>0</v>
      </c>
      <c r="P45" s="181">
        <v>2000</v>
      </c>
      <c r="Q45" s="181">
        <v>2000</v>
      </c>
      <c r="R45" s="175" t="s">
        <v>438</v>
      </c>
      <c r="S45" s="181">
        <v>67</v>
      </c>
      <c r="T45" s="181">
        <v>1933</v>
      </c>
      <c r="U45" s="175" t="s">
        <v>677</v>
      </c>
      <c r="V45" s="175" t="s">
        <v>647</v>
      </c>
      <c r="W45" s="175"/>
      <c r="X45" s="175"/>
      <c r="Y45" s="175"/>
      <c r="Z45" s="175"/>
    </row>
    <row r="46" spans="1:26" x14ac:dyDescent="0.25">
      <c r="A46" s="175"/>
      <c r="B46" s="175"/>
      <c r="C46" s="175"/>
      <c r="D46" s="175"/>
      <c r="E46" s="175"/>
      <c r="F46" s="175"/>
      <c r="G46" s="175" t="s">
        <v>652</v>
      </c>
      <c r="H46" s="175" t="s">
        <v>681</v>
      </c>
      <c r="I46" s="175"/>
      <c r="J46" s="175" t="s">
        <v>42</v>
      </c>
      <c r="K46" s="175" t="s">
        <v>644</v>
      </c>
      <c r="L46" s="175">
        <v>1</v>
      </c>
      <c r="M46" s="175" t="s">
        <v>645</v>
      </c>
      <c r="N46" s="181">
        <v>0</v>
      </c>
      <c r="O46" s="181">
        <v>0</v>
      </c>
      <c r="P46" s="181">
        <v>500</v>
      </c>
      <c r="Q46" s="181">
        <v>500</v>
      </c>
      <c r="R46" s="175" t="s">
        <v>438</v>
      </c>
      <c r="S46" s="181">
        <v>44</v>
      </c>
      <c r="T46" s="181">
        <v>456</v>
      </c>
      <c r="U46" s="175" t="s">
        <v>677</v>
      </c>
      <c r="V46" s="175" t="s">
        <v>647</v>
      </c>
      <c r="W46" s="175"/>
      <c r="X46" s="175"/>
      <c r="Y46" s="175"/>
      <c r="Z46" s="175"/>
    </row>
    <row r="47" spans="1:26" x14ac:dyDescent="0.25">
      <c r="A47" s="175"/>
      <c r="B47" s="175"/>
      <c r="C47" s="175"/>
      <c r="D47" s="175"/>
      <c r="E47" s="175"/>
      <c r="F47" s="175"/>
      <c r="G47" s="175" t="s">
        <v>652</v>
      </c>
      <c r="H47" s="175" t="s">
        <v>682</v>
      </c>
      <c r="I47" s="175"/>
      <c r="J47" s="175" t="s">
        <v>42</v>
      </c>
      <c r="K47" s="175" t="s">
        <v>644</v>
      </c>
      <c r="L47" s="175">
        <v>1</v>
      </c>
      <c r="M47" s="175" t="s">
        <v>645</v>
      </c>
      <c r="N47" s="181">
        <v>0</v>
      </c>
      <c r="O47" s="181">
        <v>0</v>
      </c>
      <c r="P47" s="181">
        <v>22000</v>
      </c>
      <c r="Q47" s="181">
        <v>22000</v>
      </c>
      <c r="R47" s="175" t="s">
        <v>438</v>
      </c>
      <c r="S47" s="181">
        <v>376</v>
      </c>
      <c r="T47" s="181">
        <v>21624</v>
      </c>
      <c r="U47" s="175" t="s">
        <v>677</v>
      </c>
      <c r="V47" s="175" t="s">
        <v>647</v>
      </c>
      <c r="W47" s="175"/>
      <c r="X47" s="175"/>
      <c r="Y47" s="175"/>
      <c r="Z47" s="175"/>
    </row>
    <row r="48" spans="1:26" x14ac:dyDescent="0.25">
      <c r="A48" s="175"/>
      <c r="B48" s="175"/>
      <c r="C48" s="175"/>
      <c r="D48" s="175"/>
      <c r="E48" s="175"/>
      <c r="F48" s="175"/>
      <c r="G48" s="175" t="s">
        <v>642</v>
      </c>
      <c r="H48" s="175" t="s">
        <v>683</v>
      </c>
      <c r="I48" s="175"/>
      <c r="J48" s="175" t="s">
        <v>42</v>
      </c>
      <c r="K48" s="175" t="s">
        <v>644</v>
      </c>
      <c r="L48" s="175">
        <v>1</v>
      </c>
      <c r="M48" s="175" t="s">
        <v>645</v>
      </c>
      <c r="N48" s="181">
        <v>0</v>
      </c>
      <c r="O48" s="181">
        <v>0</v>
      </c>
      <c r="P48" s="181">
        <v>2500</v>
      </c>
      <c r="Q48" s="181">
        <v>2500</v>
      </c>
      <c r="R48" s="175" t="s">
        <v>438</v>
      </c>
      <c r="S48" s="181">
        <v>75</v>
      </c>
      <c r="T48" s="181">
        <v>2425</v>
      </c>
      <c r="U48" s="175" t="s">
        <v>677</v>
      </c>
      <c r="V48" s="175" t="s">
        <v>647</v>
      </c>
      <c r="W48" s="175"/>
      <c r="X48" s="175"/>
      <c r="Y48" s="175"/>
      <c r="Z48" s="175"/>
    </row>
    <row r="49" spans="1:26" x14ac:dyDescent="0.25">
      <c r="A49" s="175"/>
      <c r="B49" s="175"/>
      <c r="C49" s="175"/>
      <c r="D49" s="175"/>
      <c r="E49" s="175"/>
      <c r="F49" s="175"/>
      <c r="G49" s="175" t="s">
        <v>642</v>
      </c>
      <c r="H49" s="175" t="s">
        <v>684</v>
      </c>
      <c r="I49" s="175"/>
      <c r="J49" s="175" t="s">
        <v>42</v>
      </c>
      <c r="K49" s="175" t="s">
        <v>644</v>
      </c>
      <c r="L49" s="175">
        <v>1</v>
      </c>
      <c r="M49" s="175" t="s">
        <v>645</v>
      </c>
      <c r="N49" s="181">
        <v>0</v>
      </c>
      <c r="O49" s="181">
        <v>0</v>
      </c>
      <c r="P49" s="181">
        <v>12000</v>
      </c>
      <c r="Q49" s="181">
        <v>12000</v>
      </c>
      <c r="R49" s="175" t="s">
        <v>439</v>
      </c>
      <c r="S49" s="181">
        <v>221</v>
      </c>
      <c r="T49" s="181">
        <v>11779</v>
      </c>
      <c r="U49" s="175" t="s">
        <v>677</v>
      </c>
      <c r="V49" s="175" t="s">
        <v>647</v>
      </c>
      <c r="W49" s="175"/>
      <c r="X49" s="175"/>
      <c r="Y49" s="175"/>
      <c r="Z49" s="175"/>
    </row>
    <row r="50" spans="1:26" x14ac:dyDescent="0.25">
      <c r="A50" s="175"/>
      <c r="B50" s="175"/>
      <c r="C50" s="175"/>
      <c r="D50" s="175"/>
      <c r="E50" s="175"/>
      <c r="F50" s="175"/>
      <c r="G50" s="175" t="s">
        <v>642</v>
      </c>
      <c r="H50" s="175" t="s">
        <v>685</v>
      </c>
      <c r="I50" s="175"/>
      <c r="J50" s="175" t="s">
        <v>42</v>
      </c>
      <c r="K50" s="175" t="s">
        <v>644</v>
      </c>
      <c r="L50" s="175">
        <v>1</v>
      </c>
      <c r="M50" s="175" t="s">
        <v>645</v>
      </c>
      <c r="N50" s="181">
        <v>0</v>
      </c>
      <c r="O50" s="181">
        <v>0</v>
      </c>
      <c r="P50" s="181">
        <v>2500</v>
      </c>
      <c r="Q50" s="181">
        <v>2500</v>
      </c>
      <c r="R50" s="175" t="s">
        <v>438</v>
      </c>
      <c r="S50" s="181">
        <v>75</v>
      </c>
      <c r="T50" s="181">
        <v>2425</v>
      </c>
      <c r="U50" s="175" t="s">
        <v>677</v>
      </c>
      <c r="V50" s="175" t="s">
        <v>647</v>
      </c>
      <c r="W50" s="175"/>
      <c r="X50" s="175"/>
      <c r="Y50" s="175"/>
      <c r="Z50" s="175"/>
    </row>
    <row r="51" spans="1:26" x14ac:dyDescent="0.25">
      <c r="A51" s="175"/>
      <c r="B51" s="175"/>
      <c r="C51" s="175"/>
      <c r="D51" s="175"/>
      <c r="E51" s="175"/>
      <c r="F51" s="175"/>
      <c r="G51" s="175" t="s">
        <v>652</v>
      </c>
      <c r="H51" s="175" t="s">
        <v>686</v>
      </c>
      <c r="I51" s="175"/>
      <c r="J51" s="175" t="s">
        <v>547</v>
      </c>
      <c r="K51" s="175" t="s">
        <v>687</v>
      </c>
      <c r="L51" s="175">
        <v>1</v>
      </c>
      <c r="M51" s="175" t="s">
        <v>645</v>
      </c>
      <c r="N51" s="181">
        <v>0</v>
      </c>
      <c r="O51" s="181">
        <v>0</v>
      </c>
      <c r="P51" s="181">
        <v>800</v>
      </c>
      <c r="Q51" s="181">
        <v>800</v>
      </c>
      <c r="R51" s="175" t="s">
        <v>438</v>
      </c>
      <c r="S51" s="181">
        <v>71</v>
      </c>
      <c r="T51" s="181">
        <v>729</v>
      </c>
      <c r="U51" s="175" t="s">
        <v>677</v>
      </c>
      <c r="V51" s="175" t="s">
        <v>647</v>
      </c>
      <c r="W51" s="175"/>
      <c r="X51" s="175"/>
      <c r="Y51" s="175"/>
      <c r="Z51" s="175"/>
    </row>
    <row r="52" spans="1:26" x14ac:dyDescent="0.25">
      <c r="A52" s="175"/>
      <c r="B52" s="175"/>
      <c r="C52" s="175"/>
      <c r="D52" s="175"/>
      <c r="E52" s="175"/>
      <c r="F52" s="175"/>
      <c r="G52" s="175" t="s">
        <v>642</v>
      </c>
      <c r="H52" s="175" t="s">
        <v>688</v>
      </c>
      <c r="I52" s="175"/>
      <c r="J52" s="175" t="s">
        <v>42</v>
      </c>
      <c r="K52" s="175" t="s">
        <v>644</v>
      </c>
      <c r="L52" s="175">
        <v>1</v>
      </c>
      <c r="M52" s="175" t="s">
        <v>645</v>
      </c>
      <c r="N52" s="181">
        <v>0</v>
      </c>
      <c r="O52" s="181">
        <v>0</v>
      </c>
      <c r="P52" s="181">
        <v>900</v>
      </c>
      <c r="Q52" s="181">
        <v>900</v>
      </c>
      <c r="R52" s="175" t="s">
        <v>438</v>
      </c>
      <c r="S52" s="181">
        <v>50</v>
      </c>
      <c r="T52" s="181">
        <v>850</v>
      </c>
      <c r="U52" s="175" t="s">
        <v>689</v>
      </c>
      <c r="V52" s="175" t="s">
        <v>647</v>
      </c>
      <c r="W52" s="175"/>
      <c r="X52" s="175"/>
      <c r="Y52" s="175"/>
      <c r="Z52" s="175"/>
    </row>
    <row r="53" spans="1:26" x14ac:dyDescent="0.25">
      <c r="A53" s="175"/>
      <c r="B53" s="175"/>
      <c r="C53" s="175"/>
      <c r="D53" s="175"/>
      <c r="E53" s="175"/>
      <c r="F53" s="175"/>
      <c r="G53" s="175" t="s">
        <v>642</v>
      </c>
      <c r="H53" s="175" t="s">
        <v>690</v>
      </c>
      <c r="I53" s="175"/>
      <c r="J53" s="175" t="s">
        <v>42</v>
      </c>
      <c r="K53" s="175" t="s">
        <v>644</v>
      </c>
      <c r="L53" s="175">
        <v>1</v>
      </c>
      <c r="M53" s="175" t="s">
        <v>645</v>
      </c>
      <c r="N53" s="181">
        <v>0</v>
      </c>
      <c r="O53" s="181">
        <v>0</v>
      </c>
      <c r="P53" s="181">
        <v>21700</v>
      </c>
      <c r="Q53" s="181">
        <v>21700</v>
      </c>
      <c r="R53" s="175" t="s">
        <v>438</v>
      </c>
      <c r="S53" s="181">
        <v>371</v>
      </c>
      <c r="T53" s="181">
        <v>21329</v>
      </c>
      <c r="U53" s="175" t="s">
        <v>689</v>
      </c>
      <c r="V53" s="175" t="s">
        <v>647</v>
      </c>
      <c r="W53" s="175"/>
      <c r="X53" s="175"/>
      <c r="Y53" s="175"/>
      <c r="Z53" s="175"/>
    </row>
    <row r="54" spans="1:26" x14ac:dyDescent="0.25">
      <c r="A54" s="175"/>
      <c r="B54" s="175"/>
      <c r="C54" s="175"/>
      <c r="D54" s="175"/>
      <c r="E54" s="175"/>
      <c r="F54" s="175"/>
      <c r="G54" s="175" t="s">
        <v>642</v>
      </c>
      <c r="H54" s="175" t="s">
        <v>691</v>
      </c>
      <c r="I54" s="175"/>
      <c r="J54" s="175" t="s">
        <v>42</v>
      </c>
      <c r="K54" s="175" t="s">
        <v>644</v>
      </c>
      <c r="L54" s="175">
        <v>1</v>
      </c>
      <c r="M54" s="175" t="s">
        <v>645</v>
      </c>
      <c r="N54" s="181">
        <v>0</v>
      </c>
      <c r="O54" s="181">
        <v>0</v>
      </c>
      <c r="P54" s="181">
        <v>3300</v>
      </c>
      <c r="Q54" s="181">
        <v>3300</v>
      </c>
      <c r="R54" s="175" t="s">
        <v>438</v>
      </c>
      <c r="S54" s="181">
        <v>87</v>
      </c>
      <c r="T54" s="181">
        <v>3213</v>
      </c>
      <c r="U54" s="175" t="s">
        <v>689</v>
      </c>
      <c r="V54" s="175" t="s">
        <v>647</v>
      </c>
      <c r="W54" s="175"/>
      <c r="X54" s="175"/>
      <c r="Y54" s="175"/>
      <c r="Z54" s="175"/>
    </row>
    <row r="55" spans="1:26" x14ac:dyDescent="0.25">
      <c r="A55" s="175"/>
      <c r="B55" s="175"/>
      <c r="C55" s="175"/>
      <c r="D55" s="175"/>
      <c r="E55" s="175"/>
      <c r="F55" s="175"/>
      <c r="G55" s="175" t="s">
        <v>652</v>
      </c>
      <c r="H55" s="175" t="s">
        <v>692</v>
      </c>
      <c r="I55" s="175"/>
      <c r="J55" s="175" t="s">
        <v>42</v>
      </c>
      <c r="K55" s="175" t="s">
        <v>644</v>
      </c>
      <c r="L55" s="175">
        <v>1</v>
      </c>
      <c r="M55" s="175" t="s">
        <v>645</v>
      </c>
      <c r="N55" s="181">
        <v>0</v>
      </c>
      <c r="O55" s="181">
        <v>0</v>
      </c>
      <c r="P55" s="181">
        <v>500</v>
      </c>
      <c r="Q55" s="181">
        <v>500</v>
      </c>
      <c r="R55" s="175" t="s">
        <v>438</v>
      </c>
      <c r="S55" s="181">
        <v>44</v>
      </c>
      <c r="T55" s="181">
        <v>456</v>
      </c>
      <c r="U55" s="175" t="s">
        <v>689</v>
      </c>
      <c r="V55" s="175" t="s">
        <v>647</v>
      </c>
      <c r="W55" s="175"/>
      <c r="X55" s="175"/>
      <c r="Y55" s="175"/>
      <c r="Z55" s="175"/>
    </row>
    <row r="56" spans="1:26" x14ac:dyDescent="0.25">
      <c r="A56" s="175"/>
      <c r="B56" s="175"/>
      <c r="C56" s="175"/>
      <c r="D56" s="175"/>
      <c r="E56" s="175"/>
      <c r="F56" s="175"/>
      <c r="G56" s="175" t="s">
        <v>642</v>
      </c>
      <c r="H56" s="175" t="s">
        <v>693</v>
      </c>
      <c r="I56" s="175"/>
      <c r="J56" s="175" t="s">
        <v>42</v>
      </c>
      <c r="K56" s="175" t="s">
        <v>644</v>
      </c>
      <c r="L56" s="175">
        <v>1</v>
      </c>
      <c r="M56" s="175" t="s">
        <v>645</v>
      </c>
      <c r="N56" s="181">
        <v>0</v>
      </c>
      <c r="O56" s="181">
        <v>0</v>
      </c>
      <c r="P56" s="181">
        <v>4100</v>
      </c>
      <c r="Q56" s="181">
        <v>4100</v>
      </c>
      <c r="R56" s="175" t="s">
        <v>438</v>
      </c>
      <c r="S56" s="181">
        <v>99</v>
      </c>
      <c r="T56" s="181">
        <v>4001</v>
      </c>
      <c r="U56" s="175" t="s">
        <v>689</v>
      </c>
      <c r="V56" s="175" t="s">
        <v>647</v>
      </c>
      <c r="W56" s="175"/>
      <c r="X56" s="175"/>
      <c r="Y56" s="175"/>
      <c r="Z56" s="175"/>
    </row>
    <row r="57" spans="1:26" x14ac:dyDescent="0.25">
      <c r="A57" s="175"/>
      <c r="B57" s="175"/>
      <c r="C57" s="175"/>
      <c r="D57" s="175"/>
      <c r="E57" s="175"/>
      <c r="F57" s="175"/>
      <c r="G57" s="175" t="s">
        <v>642</v>
      </c>
      <c r="H57" s="175" t="s">
        <v>694</v>
      </c>
      <c r="I57" s="175"/>
      <c r="J57" s="175" t="s">
        <v>42</v>
      </c>
      <c r="K57" s="175" t="s">
        <v>644</v>
      </c>
      <c r="L57" s="175">
        <v>1</v>
      </c>
      <c r="M57" s="175" t="s">
        <v>645</v>
      </c>
      <c r="N57" s="181">
        <v>0</v>
      </c>
      <c r="O57" s="181">
        <v>0</v>
      </c>
      <c r="P57" s="181">
        <v>2000</v>
      </c>
      <c r="Q57" s="181">
        <v>2000</v>
      </c>
      <c r="R57" s="175" t="s">
        <v>438</v>
      </c>
      <c r="S57" s="181">
        <v>67</v>
      </c>
      <c r="T57" s="181">
        <v>1933</v>
      </c>
      <c r="U57" s="175" t="s">
        <v>695</v>
      </c>
      <c r="V57" s="175" t="s">
        <v>647</v>
      </c>
      <c r="W57" s="175"/>
      <c r="X57" s="175"/>
      <c r="Y57" s="175"/>
      <c r="Z57" s="175"/>
    </row>
    <row r="58" spans="1:26" x14ac:dyDescent="0.25">
      <c r="A58" s="175"/>
      <c r="B58" s="175"/>
      <c r="C58" s="175"/>
      <c r="D58" s="175"/>
      <c r="E58" s="175"/>
      <c r="F58" s="175"/>
      <c r="G58" s="175" t="s">
        <v>642</v>
      </c>
      <c r="H58" s="175" t="s">
        <v>696</v>
      </c>
      <c r="I58" s="175"/>
      <c r="J58" s="175" t="s">
        <v>42</v>
      </c>
      <c r="K58" s="175" t="s">
        <v>644</v>
      </c>
      <c r="L58" s="175">
        <v>1</v>
      </c>
      <c r="M58" s="175" t="s">
        <v>645</v>
      </c>
      <c r="N58" s="181">
        <v>0</v>
      </c>
      <c r="O58" s="181">
        <v>0</v>
      </c>
      <c r="P58" s="181">
        <v>2500</v>
      </c>
      <c r="Q58" s="181">
        <v>2500</v>
      </c>
      <c r="R58" s="175" t="s">
        <v>438</v>
      </c>
      <c r="S58" s="181">
        <v>75</v>
      </c>
      <c r="T58" s="181">
        <v>2425</v>
      </c>
      <c r="U58" s="175" t="s">
        <v>695</v>
      </c>
      <c r="V58" s="175" t="s">
        <v>647</v>
      </c>
      <c r="W58" s="175"/>
      <c r="X58" s="175"/>
      <c r="Y58" s="175"/>
      <c r="Z58" s="175"/>
    </row>
    <row r="59" spans="1:26" x14ac:dyDescent="0.25">
      <c r="A59" s="175"/>
      <c r="B59" s="175"/>
      <c r="C59" s="175"/>
      <c r="D59" s="175"/>
      <c r="E59" s="175"/>
      <c r="F59" s="175"/>
      <c r="G59" s="175" t="s">
        <v>642</v>
      </c>
      <c r="H59" s="175" t="s">
        <v>697</v>
      </c>
      <c r="I59" s="175"/>
      <c r="J59" s="175" t="s">
        <v>42</v>
      </c>
      <c r="K59" s="175" t="s">
        <v>644</v>
      </c>
      <c r="L59" s="175">
        <v>1</v>
      </c>
      <c r="M59" s="175" t="s">
        <v>645</v>
      </c>
      <c r="N59" s="181">
        <v>0</v>
      </c>
      <c r="O59" s="181">
        <v>0</v>
      </c>
      <c r="P59" s="181">
        <v>53000</v>
      </c>
      <c r="Q59" s="181">
        <v>53000</v>
      </c>
      <c r="R59" s="175" t="s">
        <v>439</v>
      </c>
      <c r="S59" s="181">
        <v>856</v>
      </c>
      <c r="T59" s="181">
        <v>52144</v>
      </c>
      <c r="U59" s="175" t="s">
        <v>695</v>
      </c>
      <c r="V59" s="175" t="s">
        <v>647</v>
      </c>
      <c r="W59" s="175"/>
      <c r="X59" s="175"/>
      <c r="Y59" s="175"/>
      <c r="Z59" s="175"/>
    </row>
    <row r="60" spans="1:26" x14ac:dyDescent="0.25">
      <c r="A60" s="175"/>
      <c r="B60" s="175"/>
      <c r="C60" s="175"/>
      <c r="D60" s="175"/>
      <c r="E60" s="175"/>
      <c r="F60" s="175"/>
      <c r="G60" s="175" t="s">
        <v>642</v>
      </c>
      <c r="H60" s="175" t="s">
        <v>698</v>
      </c>
      <c r="I60" s="175"/>
      <c r="J60" s="175" t="s">
        <v>42</v>
      </c>
      <c r="K60" s="175" t="s">
        <v>644</v>
      </c>
      <c r="L60" s="175">
        <v>1</v>
      </c>
      <c r="M60" s="175" t="s">
        <v>645</v>
      </c>
      <c r="N60" s="181">
        <v>0</v>
      </c>
      <c r="O60" s="181">
        <v>0</v>
      </c>
      <c r="P60" s="181">
        <v>7500</v>
      </c>
      <c r="Q60" s="181">
        <v>7500</v>
      </c>
      <c r="R60" s="175" t="s">
        <v>438</v>
      </c>
      <c r="S60" s="181">
        <v>152</v>
      </c>
      <c r="T60" s="181">
        <v>7348</v>
      </c>
      <c r="U60" s="175" t="s">
        <v>695</v>
      </c>
      <c r="V60" s="175" t="s">
        <v>647</v>
      </c>
      <c r="W60" s="175"/>
      <c r="X60" s="175"/>
      <c r="Y60" s="175"/>
      <c r="Z60" s="175"/>
    </row>
    <row r="61" spans="1:26" x14ac:dyDescent="0.25">
      <c r="A61" s="175"/>
      <c r="B61" s="175"/>
      <c r="C61" s="175"/>
      <c r="D61" s="175"/>
      <c r="E61" s="175"/>
      <c r="F61" s="175"/>
      <c r="G61" s="175" t="s">
        <v>642</v>
      </c>
      <c r="H61" s="175" t="s">
        <v>699</v>
      </c>
      <c r="I61" s="175"/>
      <c r="J61" s="175" t="s">
        <v>42</v>
      </c>
      <c r="K61" s="175" t="s">
        <v>644</v>
      </c>
      <c r="L61" s="175">
        <v>1</v>
      </c>
      <c r="M61" s="175" t="s">
        <v>645</v>
      </c>
      <c r="N61" s="181">
        <v>0</v>
      </c>
      <c r="O61" s="181">
        <v>0</v>
      </c>
      <c r="P61" s="181">
        <v>900</v>
      </c>
      <c r="Q61" s="181">
        <v>900</v>
      </c>
      <c r="R61" s="175" t="s">
        <v>438</v>
      </c>
      <c r="S61" s="181">
        <v>50</v>
      </c>
      <c r="T61" s="181">
        <v>850</v>
      </c>
      <c r="U61" s="175" t="s">
        <v>695</v>
      </c>
      <c r="V61" s="175" t="s">
        <v>647</v>
      </c>
      <c r="W61" s="175"/>
      <c r="X61" s="175"/>
      <c r="Y61" s="175"/>
      <c r="Z61" s="175"/>
    </row>
    <row r="62" spans="1:26" x14ac:dyDescent="0.25">
      <c r="A62" s="175"/>
      <c r="B62" s="175"/>
      <c r="C62" s="175"/>
      <c r="D62" s="175"/>
      <c r="E62" s="175"/>
      <c r="F62" s="175"/>
      <c r="G62" s="175" t="s">
        <v>652</v>
      </c>
      <c r="H62" s="175" t="s">
        <v>700</v>
      </c>
      <c r="I62" s="175"/>
      <c r="J62" s="175" t="s">
        <v>42</v>
      </c>
      <c r="K62" s="175" t="s">
        <v>644</v>
      </c>
      <c r="L62" s="175">
        <v>1</v>
      </c>
      <c r="M62" s="175" t="s">
        <v>645</v>
      </c>
      <c r="N62" s="181">
        <v>0</v>
      </c>
      <c r="O62" s="181">
        <v>0</v>
      </c>
      <c r="P62" s="181">
        <v>500</v>
      </c>
      <c r="Q62" s="181">
        <v>500</v>
      </c>
      <c r="R62" s="175" t="s">
        <v>438</v>
      </c>
      <c r="S62" s="181">
        <v>44</v>
      </c>
      <c r="T62" s="181">
        <v>456</v>
      </c>
      <c r="U62" s="175" t="s">
        <v>695</v>
      </c>
      <c r="V62" s="175" t="s">
        <v>647</v>
      </c>
      <c r="W62" s="175"/>
      <c r="X62" s="175"/>
      <c r="Y62" s="175"/>
      <c r="Z62" s="175"/>
    </row>
    <row r="63" spans="1:26" x14ac:dyDescent="0.25">
      <c r="A63" s="175"/>
      <c r="B63" s="175"/>
      <c r="C63" s="175"/>
      <c r="D63" s="175"/>
      <c r="E63" s="175"/>
      <c r="F63" s="175"/>
      <c r="G63" s="175" t="s">
        <v>642</v>
      </c>
      <c r="H63" s="175" t="s">
        <v>701</v>
      </c>
      <c r="I63" s="175"/>
      <c r="J63" s="175" t="s">
        <v>42</v>
      </c>
      <c r="K63" s="175" t="s">
        <v>644</v>
      </c>
      <c r="L63" s="175">
        <v>1</v>
      </c>
      <c r="M63" s="175" t="s">
        <v>645</v>
      </c>
      <c r="N63" s="181">
        <v>0</v>
      </c>
      <c r="O63" s="181">
        <v>0</v>
      </c>
      <c r="P63" s="181">
        <v>3400</v>
      </c>
      <c r="Q63" s="181">
        <v>3400</v>
      </c>
      <c r="R63" s="175" t="s">
        <v>438</v>
      </c>
      <c r="S63" s="181">
        <v>88</v>
      </c>
      <c r="T63" s="181">
        <v>3312</v>
      </c>
      <c r="U63" s="175" t="s">
        <v>695</v>
      </c>
      <c r="V63" s="175" t="s">
        <v>647</v>
      </c>
      <c r="W63" s="175"/>
      <c r="X63" s="175"/>
      <c r="Y63" s="175"/>
      <c r="Z63" s="175"/>
    </row>
    <row r="64" spans="1:26" x14ac:dyDescent="0.25">
      <c r="A64" s="175"/>
      <c r="B64" s="175"/>
      <c r="C64" s="175"/>
      <c r="D64" s="175"/>
      <c r="E64" s="175"/>
      <c r="F64" s="175"/>
      <c r="G64" s="175" t="s">
        <v>642</v>
      </c>
      <c r="H64" s="175" t="s">
        <v>702</v>
      </c>
      <c r="I64" s="175"/>
      <c r="J64" s="175" t="s">
        <v>42</v>
      </c>
      <c r="K64" s="175" t="s">
        <v>644</v>
      </c>
      <c r="L64" s="175">
        <v>1</v>
      </c>
      <c r="M64" s="175" t="s">
        <v>645</v>
      </c>
      <c r="N64" s="181">
        <v>0</v>
      </c>
      <c r="O64" s="181">
        <v>0</v>
      </c>
      <c r="P64" s="181">
        <v>2500</v>
      </c>
      <c r="Q64" s="181">
        <v>2500</v>
      </c>
      <c r="R64" s="175" t="s">
        <v>438</v>
      </c>
      <c r="S64" s="181">
        <v>75</v>
      </c>
      <c r="T64" s="181">
        <v>2425</v>
      </c>
      <c r="U64" s="175" t="s">
        <v>695</v>
      </c>
      <c r="V64" s="175" t="s">
        <v>647</v>
      </c>
      <c r="W64" s="175"/>
      <c r="X64" s="175"/>
      <c r="Y64" s="175"/>
      <c r="Z64" s="175"/>
    </row>
    <row r="65" spans="1:26" x14ac:dyDescent="0.25">
      <c r="A65" s="175"/>
      <c r="B65" s="175"/>
      <c r="C65" s="175"/>
      <c r="D65" s="175"/>
      <c r="E65" s="175"/>
      <c r="F65" s="175"/>
      <c r="G65" s="175" t="s">
        <v>642</v>
      </c>
      <c r="H65" s="175" t="s">
        <v>703</v>
      </c>
      <c r="I65" s="175"/>
      <c r="J65" s="175" t="s">
        <v>42</v>
      </c>
      <c r="K65" s="175" t="s">
        <v>644</v>
      </c>
      <c r="L65" s="175">
        <v>1</v>
      </c>
      <c r="M65" s="175" t="s">
        <v>645</v>
      </c>
      <c r="N65" s="181">
        <v>0</v>
      </c>
      <c r="O65" s="181">
        <v>0</v>
      </c>
      <c r="P65" s="181">
        <v>1600</v>
      </c>
      <c r="Q65" s="181">
        <v>1600</v>
      </c>
      <c r="R65" s="175" t="s">
        <v>438</v>
      </c>
      <c r="S65" s="181">
        <v>61</v>
      </c>
      <c r="T65" s="181">
        <v>1539</v>
      </c>
      <c r="U65" s="175" t="s">
        <v>695</v>
      </c>
      <c r="V65" s="175" t="s">
        <v>647</v>
      </c>
      <c r="W65" s="175"/>
      <c r="X65" s="175"/>
      <c r="Y65" s="175"/>
      <c r="Z65" s="175"/>
    </row>
    <row r="66" spans="1:26" x14ac:dyDescent="0.25">
      <c r="A66" s="175"/>
      <c r="B66" s="175"/>
      <c r="C66" s="175"/>
      <c r="D66" s="175"/>
      <c r="E66" s="175"/>
      <c r="F66" s="175"/>
      <c r="G66" s="175" t="s">
        <v>642</v>
      </c>
      <c r="H66" s="175" t="s">
        <v>704</v>
      </c>
      <c r="I66" s="175"/>
      <c r="J66" s="175" t="s">
        <v>547</v>
      </c>
      <c r="K66" s="175" t="s">
        <v>687</v>
      </c>
      <c r="L66" s="175">
        <v>1</v>
      </c>
      <c r="M66" s="175" t="s">
        <v>645</v>
      </c>
      <c r="N66" s="181">
        <v>0</v>
      </c>
      <c r="O66" s="181">
        <v>0</v>
      </c>
      <c r="P66" s="181">
        <v>48000</v>
      </c>
      <c r="Q66" s="181">
        <v>48000</v>
      </c>
      <c r="R66" s="175" t="s">
        <v>439</v>
      </c>
      <c r="S66" s="181">
        <v>1488</v>
      </c>
      <c r="T66" s="181">
        <v>46512</v>
      </c>
      <c r="U66" s="175" t="s">
        <v>695</v>
      </c>
      <c r="V66" s="175" t="s">
        <v>647</v>
      </c>
      <c r="W66" s="175"/>
      <c r="X66" s="175"/>
      <c r="Y66" s="175"/>
      <c r="Z66" s="175"/>
    </row>
    <row r="67" spans="1:26" x14ac:dyDescent="0.25">
      <c r="A67" s="175"/>
      <c r="B67" s="175"/>
      <c r="C67" s="175"/>
      <c r="D67" s="175"/>
      <c r="E67" s="175"/>
      <c r="F67" s="175"/>
      <c r="G67" s="175" t="s">
        <v>652</v>
      </c>
      <c r="H67" s="175" t="s">
        <v>705</v>
      </c>
      <c r="I67" s="175"/>
      <c r="J67" s="175" t="s">
        <v>42</v>
      </c>
      <c r="K67" s="175" t="s">
        <v>644</v>
      </c>
      <c r="L67" s="175">
        <v>1</v>
      </c>
      <c r="M67" s="175" t="s">
        <v>645</v>
      </c>
      <c r="N67" s="181">
        <v>0</v>
      </c>
      <c r="O67" s="181">
        <v>0</v>
      </c>
      <c r="P67" s="181">
        <v>1500</v>
      </c>
      <c r="Q67" s="181">
        <v>1500</v>
      </c>
      <c r="R67" s="175" t="s">
        <v>438</v>
      </c>
      <c r="S67" s="181">
        <v>60</v>
      </c>
      <c r="T67" s="181">
        <v>1440</v>
      </c>
      <c r="U67" s="175" t="s">
        <v>695</v>
      </c>
      <c r="V67" s="175" t="s">
        <v>647</v>
      </c>
      <c r="W67" s="175"/>
      <c r="X67" s="175"/>
      <c r="Y67" s="175"/>
      <c r="Z67" s="175"/>
    </row>
    <row r="68" spans="1:26" x14ac:dyDescent="0.25">
      <c r="A68" s="175"/>
      <c r="B68" s="175"/>
      <c r="C68" s="175"/>
      <c r="D68" s="175"/>
      <c r="E68" s="175"/>
      <c r="F68" s="175"/>
      <c r="G68" s="175" t="s">
        <v>642</v>
      </c>
      <c r="H68" s="175" t="s">
        <v>706</v>
      </c>
      <c r="I68" s="175"/>
      <c r="J68" s="175" t="s">
        <v>42</v>
      </c>
      <c r="K68" s="175" t="s">
        <v>644</v>
      </c>
      <c r="L68" s="175">
        <v>1</v>
      </c>
      <c r="M68" s="175" t="s">
        <v>645</v>
      </c>
      <c r="N68" s="181">
        <v>0</v>
      </c>
      <c r="O68" s="181">
        <v>0</v>
      </c>
      <c r="P68" s="181">
        <v>2500</v>
      </c>
      <c r="Q68" s="181">
        <v>2500</v>
      </c>
      <c r="R68" s="175" t="s">
        <v>438</v>
      </c>
      <c r="S68" s="181">
        <v>75</v>
      </c>
      <c r="T68" s="181">
        <v>2425</v>
      </c>
      <c r="U68" s="175" t="s">
        <v>695</v>
      </c>
      <c r="V68" s="175" t="s">
        <v>647</v>
      </c>
      <c r="W68" s="175"/>
      <c r="X68" s="175"/>
      <c r="Y68" s="175"/>
      <c r="Z68" s="175"/>
    </row>
    <row r="69" spans="1:26" x14ac:dyDescent="0.25">
      <c r="A69" s="175"/>
      <c r="B69" s="175"/>
      <c r="C69" s="175"/>
      <c r="D69" s="175"/>
      <c r="E69" s="175"/>
      <c r="F69" s="175"/>
      <c r="G69" s="175" t="s">
        <v>642</v>
      </c>
      <c r="H69" s="175" t="s">
        <v>707</v>
      </c>
      <c r="I69" s="175"/>
      <c r="J69" s="175" t="s">
        <v>547</v>
      </c>
      <c r="K69" s="175" t="s">
        <v>687</v>
      </c>
      <c r="L69" s="175">
        <v>1</v>
      </c>
      <c r="M69" s="175" t="s">
        <v>645</v>
      </c>
      <c r="N69" s="181">
        <v>0</v>
      </c>
      <c r="O69" s="181">
        <v>0</v>
      </c>
      <c r="P69" s="181">
        <v>1700</v>
      </c>
      <c r="Q69" s="181">
        <v>1700</v>
      </c>
      <c r="R69" s="175" t="s">
        <v>438</v>
      </c>
      <c r="S69" s="181">
        <v>99</v>
      </c>
      <c r="T69" s="181">
        <v>1601</v>
      </c>
      <c r="U69" s="175" t="s">
        <v>695</v>
      </c>
      <c r="V69" s="175" t="s">
        <v>647</v>
      </c>
      <c r="W69" s="175"/>
      <c r="X69" s="175"/>
      <c r="Y69" s="175"/>
      <c r="Z69" s="175"/>
    </row>
    <row r="70" spans="1:26" x14ac:dyDescent="0.25">
      <c r="A70" s="175"/>
      <c r="B70" s="175"/>
      <c r="C70" s="175"/>
      <c r="D70" s="175"/>
      <c r="E70" s="175"/>
      <c r="F70" s="175"/>
      <c r="G70" s="175" t="s">
        <v>642</v>
      </c>
      <c r="H70" s="175" t="s">
        <v>708</v>
      </c>
      <c r="I70" s="175"/>
      <c r="J70" s="175" t="s">
        <v>42</v>
      </c>
      <c r="K70" s="175" t="s">
        <v>644</v>
      </c>
      <c r="L70" s="175">
        <v>1</v>
      </c>
      <c r="M70" s="175" t="s">
        <v>645</v>
      </c>
      <c r="N70" s="181">
        <v>0</v>
      </c>
      <c r="O70" s="181">
        <v>0</v>
      </c>
      <c r="P70" s="181">
        <v>3700</v>
      </c>
      <c r="Q70" s="181">
        <v>3700</v>
      </c>
      <c r="R70" s="175" t="s">
        <v>438</v>
      </c>
      <c r="S70" s="181">
        <v>93</v>
      </c>
      <c r="T70" s="181">
        <v>3607</v>
      </c>
      <c r="U70" s="175" t="s">
        <v>709</v>
      </c>
      <c r="V70" s="175" t="s">
        <v>647</v>
      </c>
      <c r="W70" s="175"/>
      <c r="X70" s="175"/>
      <c r="Y70" s="175"/>
      <c r="Z70" s="175"/>
    </row>
    <row r="71" spans="1:26" x14ac:dyDescent="0.25">
      <c r="A71" s="175"/>
      <c r="B71" s="175"/>
      <c r="C71" s="175"/>
      <c r="D71" s="175"/>
      <c r="E71" s="175"/>
      <c r="F71" s="175"/>
      <c r="G71" s="175" t="s">
        <v>652</v>
      </c>
      <c r="H71" s="175" t="s">
        <v>710</v>
      </c>
      <c r="I71" s="175"/>
      <c r="J71" s="175" t="s">
        <v>42</v>
      </c>
      <c r="K71" s="175" t="s">
        <v>644</v>
      </c>
      <c r="L71" s="175">
        <v>1</v>
      </c>
      <c r="M71" s="175" t="s">
        <v>645</v>
      </c>
      <c r="N71" s="181">
        <v>0</v>
      </c>
      <c r="O71" s="181">
        <v>0</v>
      </c>
      <c r="P71" s="181">
        <v>500</v>
      </c>
      <c r="Q71" s="181">
        <v>500</v>
      </c>
      <c r="R71" s="175" t="s">
        <v>438</v>
      </c>
      <c r="S71" s="181">
        <v>44</v>
      </c>
      <c r="T71" s="181">
        <v>456</v>
      </c>
      <c r="U71" s="175" t="s">
        <v>709</v>
      </c>
      <c r="V71" s="175" t="s">
        <v>647</v>
      </c>
      <c r="W71" s="175"/>
      <c r="X71" s="175"/>
      <c r="Y71" s="175"/>
      <c r="Z71" s="175"/>
    </row>
    <row r="72" spans="1:26" x14ac:dyDescent="0.25">
      <c r="A72" s="175"/>
      <c r="B72" s="175"/>
      <c r="C72" s="175"/>
      <c r="D72" s="175"/>
      <c r="E72" s="175"/>
      <c r="F72" s="175"/>
      <c r="G72" s="175" t="s">
        <v>652</v>
      </c>
      <c r="H72" s="175" t="s">
        <v>711</v>
      </c>
      <c r="I72" s="175"/>
      <c r="J72" s="175" t="s">
        <v>42</v>
      </c>
      <c r="K72" s="175" t="s">
        <v>644</v>
      </c>
      <c r="L72" s="175">
        <v>1</v>
      </c>
      <c r="M72" s="175" t="s">
        <v>645</v>
      </c>
      <c r="N72" s="181">
        <v>0</v>
      </c>
      <c r="O72" s="181">
        <v>0</v>
      </c>
      <c r="P72" s="181">
        <v>4000</v>
      </c>
      <c r="Q72" s="181">
        <v>4000</v>
      </c>
      <c r="R72" s="175" t="s">
        <v>438</v>
      </c>
      <c r="S72" s="181">
        <v>98</v>
      </c>
      <c r="T72" s="181">
        <v>3902</v>
      </c>
      <c r="U72" s="175" t="s">
        <v>709</v>
      </c>
      <c r="V72" s="175" t="s">
        <v>647</v>
      </c>
      <c r="W72" s="175"/>
      <c r="X72" s="175"/>
      <c r="Y72" s="175"/>
      <c r="Z72" s="175"/>
    </row>
    <row r="73" spans="1:26" x14ac:dyDescent="0.25">
      <c r="A73" s="175"/>
      <c r="B73" s="175"/>
      <c r="C73" s="175"/>
      <c r="D73" s="175"/>
      <c r="E73" s="175"/>
      <c r="F73" s="175"/>
      <c r="G73" s="175" t="s">
        <v>642</v>
      </c>
      <c r="H73" s="175" t="s">
        <v>712</v>
      </c>
      <c r="I73" s="175"/>
      <c r="J73" s="175" t="s">
        <v>42</v>
      </c>
      <c r="K73" s="175" t="s">
        <v>644</v>
      </c>
      <c r="L73" s="175">
        <v>1</v>
      </c>
      <c r="M73" s="175" t="s">
        <v>645</v>
      </c>
      <c r="N73" s="181">
        <v>0</v>
      </c>
      <c r="O73" s="181">
        <v>0</v>
      </c>
      <c r="P73" s="181">
        <v>1700</v>
      </c>
      <c r="Q73" s="181">
        <v>1700</v>
      </c>
      <c r="R73" s="175" t="s">
        <v>438</v>
      </c>
      <c r="S73" s="181">
        <v>62</v>
      </c>
      <c r="T73" s="181">
        <v>1638</v>
      </c>
      <c r="U73" s="175" t="s">
        <v>709</v>
      </c>
      <c r="V73" s="175" t="s">
        <v>647</v>
      </c>
      <c r="W73" s="175"/>
      <c r="X73" s="175"/>
      <c r="Y73" s="175"/>
      <c r="Z73" s="175"/>
    </row>
    <row r="74" spans="1:26" x14ac:dyDescent="0.25">
      <c r="A74" s="175"/>
      <c r="B74" s="175"/>
      <c r="C74" s="175"/>
      <c r="D74" s="175"/>
      <c r="E74" s="175"/>
      <c r="F74" s="175"/>
      <c r="G74" s="175" t="s">
        <v>642</v>
      </c>
      <c r="H74" s="175" t="s">
        <v>713</v>
      </c>
      <c r="I74" s="175"/>
      <c r="J74" s="175" t="s">
        <v>42</v>
      </c>
      <c r="K74" s="175" t="s">
        <v>644</v>
      </c>
      <c r="L74" s="175">
        <v>1</v>
      </c>
      <c r="M74" s="175" t="s">
        <v>645</v>
      </c>
      <c r="N74" s="181">
        <v>0</v>
      </c>
      <c r="O74" s="181">
        <v>0</v>
      </c>
      <c r="P74" s="181">
        <v>900</v>
      </c>
      <c r="Q74" s="181">
        <v>900</v>
      </c>
      <c r="R74" s="175" t="s">
        <v>438</v>
      </c>
      <c r="S74" s="181">
        <v>50</v>
      </c>
      <c r="T74" s="181">
        <v>850</v>
      </c>
      <c r="U74" s="175" t="s">
        <v>709</v>
      </c>
      <c r="V74" s="175" t="s">
        <v>647</v>
      </c>
      <c r="W74" s="175"/>
      <c r="X74" s="175"/>
      <c r="Y74" s="175"/>
      <c r="Z74" s="175"/>
    </row>
    <row r="75" spans="1:26" x14ac:dyDescent="0.25">
      <c r="A75" s="175"/>
      <c r="B75" s="175"/>
      <c r="C75" s="175"/>
      <c r="D75" s="175"/>
      <c r="E75" s="175"/>
      <c r="F75" s="175"/>
      <c r="G75" s="175" t="s">
        <v>642</v>
      </c>
      <c r="H75" s="175" t="s">
        <v>714</v>
      </c>
      <c r="I75" s="175"/>
      <c r="J75" s="175" t="s">
        <v>42</v>
      </c>
      <c r="K75" s="175" t="s">
        <v>644</v>
      </c>
      <c r="L75" s="175">
        <v>1</v>
      </c>
      <c r="M75" s="175" t="s">
        <v>645</v>
      </c>
      <c r="N75" s="181">
        <v>0</v>
      </c>
      <c r="O75" s="181">
        <v>0</v>
      </c>
      <c r="P75" s="181">
        <v>99200</v>
      </c>
      <c r="Q75" s="181">
        <v>99200</v>
      </c>
      <c r="R75" s="175" t="s">
        <v>439</v>
      </c>
      <c r="S75" s="181">
        <v>1571</v>
      </c>
      <c r="T75" s="181">
        <v>97629</v>
      </c>
      <c r="U75" s="175" t="s">
        <v>709</v>
      </c>
      <c r="V75" s="175" t="s">
        <v>647</v>
      </c>
      <c r="W75" s="175"/>
      <c r="X75" s="175"/>
      <c r="Y75" s="175"/>
      <c r="Z75" s="175"/>
    </row>
    <row r="76" spans="1:26" x14ac:dyDescent="0.25">
      <c r="A76" s="175"/>
      <c r="B76" s="175"/>
      <c r="C76" s="175"/>
      <c r="D76" s="175"/>
      <c r="E76" s="175"/>
      <c r="F76" s="175"/>
      <c r="G76" s="175" t="s">
        <v>642</v>
      </c>
      <c r="H76" s="175" t="s">
        <v>715</v>
      </c>
      <c r="I76" s="175"/>
      <c r="J76" s="175" t="s">
        <v>42</v>
      </c>
      <c r="K76" s="175" t="s">
        <v>644</v>
      </c>
      <c r="L76" s="175">
        <v>1</v>
      </c>
      <c r="M76" s="175" t="s">
        <v>645</v>
      </c>
      <c r="N76" s="181">
        <v>0</v>
      </c>
      <c r="O76" s="181">
        <v>0</v>
      </c>
      <c r="P76" s="181">
        <v>6000</v>
      </c>
      <c r="Q76" s="181">
        <v>6000</v>
      </c>
      <c r="R76" s="175" t="s">
        <v>439</v>
      </c>
      <c r="S76" s="181">
        <v>129</v>
      </c>
      <c r="T76" s="181">
        <v>5871</v>
      </c>
      <c r="U76" s="175" t="s">
        <v>709</v>
      </c>
      <c r="V76" s="175" t="s">
        <v>647</v>
      </c>
      <c r="W76" s="175"/>
      <c r="X76" s="175"/>
      <c r="Y76" s="175"/>
      <c r="Z76" s="175"/>
    </row>
    <row r="77" spans="1:26" x14ac:dyDescent="0.25">
      <c r="A77" s="175"/>
      <c r="B77" s="175"/>
      <c r="C77" s="175"/>
      <c r="D77" s="175"/>
      <c r="E77" s="175"/>
      <c r="F77" s="175"/>
      <c r="G77" s="175" t="s">
        <v>652</v>
      </c>
      <c r="H77" s="175" t="s">
        <v>716</v>
      </c>
      <c r="I77" s="175"/>
      <c r="J77" s="175" t="s">
        <v>42</v>
      </c>
      <c r="K77" s="175" t="s">
        <v>644</v>
      </c>
      <c r="L77" s="175">
        <v>1</v>
      </c>
      <c r="M77" s="175" t="s">
        <v>645</v>
      </c>
      <c r="N77" s="181">
        <v>0</v>
      </c>
      <c r="O77" s="181">
        <v>0</v>
      </c>
      <c r="P77" s="181">
        <v>1500</v>
      </c>
      <c r="Q77" s="181">
        <v>1500</v>
      </c>
      <c r="R77" s="175" t="s">
        <v>438</v>
      </c>
      <c r="S77" s="181">
        <v>60</v>
      </c>
      <c r="T77" s="181">
        <v>1440</v>
      </c>
      <c r="U77" s="175" t="s">
        <v>709</v>
      </c>
      <c r="V77" s="175" t="s">
        <v>647</v>
      </c>
      <c r="W77" s="175"/>
      <c r="X77" s="175"/>
      <c r="Y77" s="175"/>
      <c r="Z77" s="175"/>
    </row>
    <row r="78" spans="1:26" x14ac:dyDescent="0.25">
      <c r="A78" s="175"/>
      <c r="B78" s="175"/>
      <c r="C78" s="175"/>
      <c r="D78" s="175"/>
      <c r="E78" s="175"/>
      <c r="F78" s="175"/>
      <c r="G78" s="175" t="s">
        <v>642</v>
      </c>
      <c r="H78" s="175" t="s">
        <v>717</v>
      </c>
      <c r="I78" s="175"/>
      <c r="J78" s="175" t="s">
        <v>42</v>
      </c>
      <c r="K78" s="175" t="s">
        <v>644</v>
      </c>
      <c r="L78" s="175">
        <v>1</v>
      </c>
      <c r="M78" s="175" t="s">
        <v>645</v>
      </c>
      <c r="N78" s="181">
        <v>0</v>
      </c>
      <c r="O78" s="181">
        <v>0</v>
      </c>
      <c r="P78" s="181">
        <v>2500</v>
      </c>
      <c r="Q78" s="181">
        <v>2500</v>
      </c>
      <c r="R78" s="175" t="s">
        <v>438</v>
      </c>
      <c r="S78" s="181">
        <v>75</v>
      </c>
      <c r="T78" s="181">
        <v>2425</v>
      </c>
      <c r="U78" s="175" t="s">
        <v>709</v>
      </c>
      <c r="V78" s="175" t="s">
        <v>647</v>
      </c>
      <c r="W78" s="175"/>
      <c r="X78" s="175"/>
      <c r="Y78" s="175"/>
      <c r="Z78" s="175"/>
    </row>
    <row r="79" spans="1:26" x14ac:dyDescent="0.25">
      <c r="A79" s="175"/>
      <c r="B79" s="175"/>
      <c r="C79" s="175"/>
      <c r="D79" s="175"/>
      <c r="E79" s="175"/>
      <c r="F79" s="175"/>
      <c r="G79" s="175" t="s">
        <v>642</v>
      </c>
      <c r="H79" s="175" t="s">
        <v>718</v>
      </c>
      <c r="I79" s="175"/>
      <c r="J79" s="175" t="s">
        <v>547</v>
      </c>
      <c r="K79" s="175" t="s">
        <v>687</v>
      </c>
      <c r="L79" s="175">
        <v>1</v>
      </c>
      <c r="M79" s="175" t="s">
        <v>645</v>
      </c>
      <c r="N79" s="181">
        <v>0</v>
      </c>
      <c r="O79" s="181">
        <v>0</v>
      </c>
      <c r="P79" s="181">
        <v>4000</v>
      </c>
      <c r="Q79" s="181">
        <v>4000</v>
      </c>
      <c r="R79" s="175" t="s">
        <v>438</v>
      </c>
      <c r="S79" s="181">
        <v>168</v>
      </c>
      <c r="T79" s="181">
        <v>3832</v>
      </c>
      <c r="U79" s="175" t="s">
        <v>719</v>
      </c>
      <c r="V79" s="175" t="s">
        <v>647</v>
      </c>
      <c r="W79" s="175"/>
      <c r="X79" s="175"/>
      <c r="Y79" s="175"/>
      <c r="Z79" s="175"/>
    </row>
    <row r="80" spans="1:26" x14ac:dyDescent="0.25">
      <c r="A80" s="175"/>
      <c r="B80" s="175"/>
      <c r="C80" s="175"/>
      <c r="D80" s="175"/>
      <c r="E80" s="175"/>
      <c r="F80" s="175"/>
      <c r="G80" s="175" t="s">
        <v>642</v>
      </c>
      <c r="H80" s="175" t="s">
        <v>720</v>
      </c>
      <c r="I80" s="175"/>
      <c r="J80" s="175" t="s">
        <v>42</v>
      </c>
      <c r="K80" s="175" t="s">
        <v>644</v>
      </c>
      <c r="L80" s="175">
        <v>1</v>
      </c>
      <c r="M80" s="175" t="s">
        <v>645</v>
      </c>
      <c r="N80" s="181">
        <v>0</v>
      </c>
      <c r="O80" s="181">
        <v>0</v>
      </c>
      <c r="P80" s="181">
        <v>30000</v>
      </c>
      <c r="Q80" s="181">
        <v>30000</v>
      </c>
      <c r="R80" s="175" t="s">
        <v>439</v>
      </c>
      <c r="S80" s="181">
        <v>500</v>
      </c>
      <c r="T80" s="181">
        <v>29500</v>
      </c>
      <c r="U80" s="175" t="s">
        <v>719</v>
      </c>
      <c r="V80" s="175" t="s">
        <v>647</v>
      </c>
      <c r="W80" s="175"/>
      <c r="X80" s="175"/>
      <c r="Y80" s="175"/>
      <c r="Z80" s="175"/>
    </row>
    <row r="81" spans="1:26" x14ac:dyDescent="0.25">
      <c r="A81" s="175"/>
      <c r="B81" s="175"/>
      <c r="C81" s="175"/>
      <c r="D81" s="175"/>
      <c r="E81" s="175"/>
      <c r="F81" s="175"/>
      <c r="G81" s="175" t="s">
        <v>642</v>
      </c>
      <c r="H81" s="175" t="s">
        <v>721</v>
      </c>
      <c r="I81" s="175"/>
      <c r="J81" s="175" t="s">
        <v>42</v>
      </c>
      <c r="K81" s="175" t="s">
        <v>644</v>
      </c>
      <c r="L81" s="175">
        <v>1</v>
      </c>
      <c r="M81" s="175" t="s">
        <v>645</v>
      </c>
      <c r="N81" s="181">
        <v>0</v>
      </c>
      <c r="O81" s="181">
        <v>0</v>
      </c>
      <c r="P81" s="181">
        <v>800</v>
      </c>
      <c r="Q81" s="181">
        <v>800</v>
      </c>
      <c r="R81" s="175" t="s">
        <v>438</v>
      </c>
      <c r="S81" s="181">
        <v>48</v>
      </c>
      <c r="T81" s="181">
        <v>752</v>
      </c>
      <c r="U81" s="175" t="s">
        <v>719</v>
      </c>
      <c r="V81" s="175" t="s">
        <v>647</v>
      </c>
      <c r="W81" s="175"/>
      <c r="X81" s="175"/>
      <c r="Y81" s="175"/>
      <c r="Z81" s="175"/>
    </row>
    <row r="82" spans="1:26" x14ac:dyDescent="0.25">
      <c r="A82" s="175"/>
      <c r="B82" s="175"/>
      <c r="C82" s="175"/>
      <c r="D82" s="175"/>
      <c r="E82" s="175"/>
      <c r="F82" s="175"/>
      <c r="G82" s="175" t="s">
        <v>642</v>
      </c>
      <c r="H82" s="175" t="s">
        <v>722</v>
      </c>
      <c r="I82" s="175"/>
      <c r="J82" s="175" t="s">
        <v>42</v>
      </c>
      <c r="K82" s="175" t="s">
        <v>644</v>
      </c>
      <c r="L82" s="175">
        <v>1</v>
      </c>
      <c r="M82" s="175" t="s">
        <v>645</v>
      </c>
      <c r="N82" s="181">
        <v>0</v>
      </c>
      <c r="O82" s="181">
        <v>0</v>
      </c>
      <c r="P82" s="181">
        <v>41000</v>
      </c>
      <c r="Q82" s="181">
        <v>41000</v>
      </c>
      <c r="R82" s="175" t="s">
        <v>439</v>
      </c>
      <c r="S82" s="181">
        <v>670</v>
      </c>
      <c r="T82" s="181">
        <v>40330</v>
      </c>
      <c r="U82" s="175" t="s">
        <v>719</v>
      </c>
      <c r="V82" s="175" t="s">
        <v>647</v>
      </c>
      <c r="W82" s="175"/>
      <c r="X82" s="175"/>
      <c r="Y82" s="175"/>
      <c r="Z82" s="175"/>
    </row>
    <row r="83" spans="1:26" x14ac:dyDescent="0.25">
      <c r="A83" s="175"/>
      <c r="B83" s="175"/>
      <c r="C83" s="175"/>
      <c r="D83" s="175"/>
      <c r="E83" s="175"/>
      <c r="F83" s="175"/>
      <c r="G83" s="175" t="s">
        <v>642</v>
      </c>
      <c r="H83" s="175" t="s">
        <v>723</v>
      </c>
      <c r="I83" s="175"/>
      <c r="J83" s="175" t="s">
        <v>42</v>
      </c>
      <c r="K83" s="175" t="s">
        <v>644</v>
      </c>
      <c r="L83" s="175">
        <v>1</v>
      </c>
      <c r="M83" s="175" t="s">
        <v>645</v>
      </c>
      <c r="N83" s="181">
        <v>0</v>
      </c>
      <c r="O83" s="181">
        <v>0</v>
      </c>
      <c r="P83" s="181">
        <v>3400</v>
      </c>
      <c r="Q83" s="181">
        <v>3400</v>
      </c>
      <c r="R83" s="175" t="s">
        <v>438</v>
      </c>
      <c r="S83" s="181">
        <v>88</v>
      </c>
      <c r="T83" s="181">
        <v>3312</v>
      </c>
      <c r="U83" s="175" t="s">
        <v>719</v>
      </c>
      <c r="V83" s="175" t="s">
        <v>647</v>
      </c>
      <c r="W83" s="175"/>
      <c r="X83" s="175"/>
      <c r="Y83" s="175"/>
      <c r="Z83" s="175"/>
    </row>
    <row r="84" spans="1:26" x14ac:dyDescent="0.25">
      <c r="A84" s="175"/>
      <c r="B84" s="175"/>
      <c r="C84" s="175"/>
      <c r="D84" s="175"/>
      <c r="E84" s="175"/>
      <c r="F84" s="175"/>
      <c r="G84" s="175" t="s">
        <v>652</v>
      </c>
      <c r="H84" s="175" t="s">
        <v>724</v>
      </c>
      <c r="I84" s="175"/>
      <c r="J84" s="175" t="s">
        <v>547</v>
      </c>
      <c r="K84" s="175" t="s">
        <v>687</v>
      </c>
      <c r="L84" s="175">
        <v>1</v>
      </c>
      <c r="M84" s="175" t="s">
        <v>645</v>
      </c>
      <c r="N84" s="181">
        <v>0</v>
      </c>
      <c r="O84" s="181">
        <v>0</v>
      </c>
      <c r="P84" s="181">
        <v>3600</v>
      </c>
      <c r="Q84" s="181">
        <v>3600</v>
      </c>
      <c r="R84" s="175" t="s">
        <v>438</v>
      </c>
      <c r="S84" s="181">
        <v>156</v>
      </c>
      <c r="T84" s="181">
        <v>3444</v>
      </c>
      <c r="U84" s="175" t="s">
        <v>719</v>
      </c>
      <c r="V84" s="175" t="s">
        <v>647</v>
      </c>
      <c r="W84" s="175"/>
      <c r="X84" s="175"/>
      <c r="Y84" s="175"/>
      <c r="Z84" s="175"/>
    </row>
    <row r="85" spans="1:26" x14ac:dyDescent="0.25">
      <c r="A85" s="175"/>
      <c r="B85" s="175"/>
      <c r="C85" s="175"/>
      <c r="D85" s="175"/>
      <c r="E85" s="175"/>
      <c r="F85" s="175"/>
      <c r="G85" s="175" t="s">
        <v>642</v>
      </c>
      <c r="H85" s="175" t="s">
        <v>725</v>
      </c>
      <c r="I85" s="175"/>
      <c r="J85" s="175" t="s">
        <v>42</v>
      </c>
      <c r="K85" s="175" t="s">
        <v>644</v>
      </c>
      <c r="L85" s="175">
        <v>1</v>
      </c>
      <c r="M85" s="175" t="s">
        <v>645</v>
      </c>
      <c r="N85" s="181">
        <v>0</v>
      </c>
      <c r="O85" s="181">
        <v>0</v>
      </c>
      <c r="P85" s="181">
        <v>1700</v>
      </c>
      <c r="Q85" s="181">
        <v>1700</v>
      </c>
      <c r="R85" s="175" t="s">
        <v>438</v>
      </c>
      <c r="S85" s="181">
        <v>62</v>
      </c>
      <c r="T85" s="181">
        <v>1638</v>
      </c>
      <c r="U85" s="175" t="s">
        <v>719</v>
      </c>
      <c r="V85" s="175" t="s">
        <v>647</v>
      </c>
      <c r="W85" s="175"/>
      <c r="X85" s="175"/>
      <c r="Y85" s="175"/>
      <c r="Z85" s="175"/>
    </row>
    <row r="86" spans="1:26" x14ac:dyDescent="0.25">
      <c r="A86" s="175"/>
      <c r="B86" s="175"/>
      <c r="C86" s="175"/>
      <c r="D86" s="175"/>
      <c r="E86" s="175"/>
      <c r="F86" s="175"/>
      <c r="G86" s="175" t="s">
        <v>652</v>
      </c>
      <c r="H86" s="175" t="s">
        <v>726</v>
      </c>
      <c r="I86" s="175"/>
      <c r="J86" s="175" t="s">
        <v>42</v>
      </c>
      <c r="K86" s="175" t="s">
        <v>644</v>
      </c>
      <c r="L86" s="175">
        <v>1</v>
      </c>
      <c r="M86" s="175" t="s">
        <v>645</v>
      </c>
      <c r="N86" s="181">
        <v>0</v>
      </c>
      <c r="O86" s="181">
        <v>0</v>
      </c>
      <c r="P86" s="181">
        <v>1500</v>
      </c>
      <c r="Q86" s="181">
        <v>1500</v>
      </c>
      <c r="R86" s="175" t="s">
        <v>438</v>
      </c>
      <c r="S86" s="181">
        <v>60</v>
      </c>
      <c r="T86" s="181">
        <v>1440</v>
      </c>
      <c r="U86" s="175" t="s">
        <v>719</v>
      </c>
      <c r="V86" s="175" t="s">
        <v>647</v>
      </c>
      <c r="W86" s="175"/>
      <c r="X86" s="175"/>
      <c r="Y86" s="175"/>
      <c r="Z86" s="175"/>
    </row>
    <row r="87" spans="1:26" x14ac:dyDescent="0.25">
      <c r="A87" s="175"/>
      <c r="B87" s="175"/>
      <c r="C87" s="175"/>
      <c r="D87" s="175"/>
      <c r="E87" s="175"/>
      <c r="F87" s="175"/>
      <c r="G87" s="175" t="s">
        <v>652</v>
      </c>
      <c r="H87" s="175" t="s">
        <v>727</v>
      </c>
      <c r="I87" s="175"/>
      <c r="J87" s="175" t="s">
        <v>42</v>
      </c>
      <c r="K87" s="175" t="s">
        <v>644</v>
      </c>
      <c r="L87" s="175">
        <v>1</v>
      </c>
      <c r="M87" s="175" t="s">
        <v>645</v>
      </c>
      <c r="N87" s="181">
        <v>0</v>
      </c>
      <c r="O87" s="181">
        <v>0</v>
      </c>
      <c r="P87" s="181">
        <v>6200</v>
      </c>
      <c r="Q87" s="181">
        <v>6200</v>
      </c>
      <c r="R87" s="175" t="s">
        <v>438</v>
      </c>
      <c r="S87" s="181">
        <v>132</v>
      </c>
      <c r="T87" s="181">
        <v>6068</v>
      </c>
      <c r="U87" s="175" t="s">
        <v>728</v>
      </c>
      <c r="V87" s="175" t="s">
        <v>647</v>
      </c>
      <c r="W87" s="175"/>
      <c r="X87" s="175"/>
      <c r="Y87" s="175"/>
      <c r="Z87" s="175"/>
    </row>
    <row r="88" spans="1:26" x14ac:dyDescent="0.25">
      <c r="A88" s="175"/>
      <c r="B88" s="175"/>
      <c r="C88" s="175"/>
      <c r="D88" s="175"/>
      <c r="E88" s="175"/>
      <c r="F88" s="175"/>
      <c r="G88" s="175" t="s">
        <v>642</v>
      </c>
      <c r="H88" s="175" t="s">
        <v>729</v>
      </c>
      <c r="I88" s="175"/>
      <c r="J88" s="175" t="s">
        <v>42</v>
      </c>
      <c r="K88" s="175" t="s">
        <v>644</v>
      </c>
      <c r="L88" s="175">
        <v>1</v>
      </c>
      <c r="M88" s="175" t="s">
        <v>645</v>
      </c>
      <c r="N88" s="181">
        <v>0</v>
      </c>
      <c r="O88" s="181">
        <v>0</v>
      </c>
      <c r="P88" s="181">
        <v>1700</v>
      </c>
      <c r="Q88" s="181">
        <v>1700</v>
      </c>
      <c r="R88" s="175" t="s">
        <v>438</v>
      </c>
      <c r="S88" s="181">
        <v>62</v>
      </c>
      <c r="T88" s="181">
        <v>1638</v>
      </c>
      <c r="U88" s="175" t="s">
        <v>728</v>
      </c>
      <c r="V88" s="175" t="s">
        <v>647</v>
      </c>
      <c r="W88" s="175"/>
      <c r="X88" s="175"/>
      <c r="Y88" s="175"/>
      <c r="Z88" s="175"/>
    </row>
    <row r="89" spans="1:26" x14ac:dyDescent="0.25">
      <c r="A89" s="175"/>
      <c r="B89" s="175"/>
      <c r="C89" s="175"/>
      <c r="D89" s="175"/>
      <c r="E89" s="175"/>
      <c r="F89" s="175"/>
      <c r="G89" s="175" t="s">
        <v>642</v>
      </c>
      <c r="H89" s="175" t="s">
        <v>730</v>
      </c>
      <c r="I89" s="175"/>
      <c r="J89" s="175" t="s">
        <v>42</v>
      </c>
      <c r="K89" s="175" t="s">
        <v>644</v>
      </c>
      <c r="L89" s="175">
        <v>1</v>
      </c>
      <c r="M89" s="175" t="s">
        <v>645</v>
      </c>
      <c r="N89" s="181">
        <v>0</v>
      </c>
      <c r="O89" s="181">
        <v>0</v>
      </c>
      <c r="P89" s="181">
        <v>4500</v>
      </c>
      <c r="Q89" s="181">
        <v>4500</v>
      </c>
      <c r="R89" s="175" t="s">
        <v>439</v>
      </c>
      <c r="S89" s="181">
        <v>106</v>
      </c>
      <c r="T89" s="181">
        <v>4394</v>
      </c>
      <c r="U89" s="175" t="s">
        <v>728</v>
      </c>
      <c r="V89" s="175" t="s">
        <v>647</v>
      </c>
      <c r="W89" s="175"/>
      <c r="X89" s="175"/>
      <c r="Y89" s="175"/>
      <c r="Z89" s="175"/>
    </row>
    <row r="90" spans="1:26" x14ac:dyDescent="0.25">
      <c r="A90" s="175"/>
      <c r="B90" s="175"/>
      <c r="C90" s="175"/>
      <c r="D90" s="175"/>
      <c r="E90" s="175"/>
      <c r="F90" s="175"/>
      <c r="G90" s="175" t="s">
        <v>642</v>
      </c>
      <c r="H90" s="175" t="s">
        <v>731</v>
      </c>
      <c r="I90" s="175"/>
      <c r="J90" s="175" t="s">
        <v>42</v>
      </c>
      <c r="K90" s="175" t="s">
        <v>644</v>
      </c>
      <c r="L90" s="175">
        <v>1</v>
      </c>
      <c r="M90" s="175" t="s">
        <v>645</v>
      </c>
      <c r="N90" s="181">
        <v>0</v>
      </c>
      <c r="O90" s="181">
        <v>0</v>
      </c>
      <c r="P90" s="181">
        <v>4500</v>
      </c>
      <c r="Q90" s="181">
        <v>4500</v>
      </c>
      <c r="R90" s="175" t="s">
        <v>439</v>
      </c>
      <c r="S90" s="181">
        <v>106</v>
      </c>
      <c r="T90" s="181">
        <v>4394</v>
      </c>
      <c r="U90" s="175" t="s">
        <v>728</v>
      </c>
      <c r="V90" s="175" t="s">
        <v>647</v>
      </c>
      <c r="W90" s="175"/>
      <c r="X90" s="175"/>
      <c r="Y90" s="175"/>
      <c r="Z90" s="175"/>
    </row>
    <row r="91" spans="1:26" x14ac:dyDescent="0.25">
      <c r="A91" s="175"/>
      <c r="B91" s="175"/>
      <c r="C91" s="175"/>
      <c r="D91" s="175"/>
      <c r="E91" s="175"/>
      <c r="F91" s="175"/>
      <c r="G91" s="175" t="s">
        <v>642</v>
      </c>
      <c r="H91" s="175" t="s">
        <v>732</v>
      </c>
      <c r="I91" s="175"/>
      <c r="J91" s="175" t="s">
        <v>42</v>
      </c>
      <c r="K91" s="175" t="s">
        <v>644</v>
      </c>
      <c r="L91" s="175">
        <v>1</v>
      </c>
      <c r="M91" s="175" t="s">
        <v>645</v>
      </c>
      <c r="N91" s="181">
        <v>0</v>
      </c>
      <c r="O91" s="181">
        <v>0</v>
      </c>
      <c r="P91" s="181">
        <v>4500</v>
      </c>
      <c r="Q91" s="181">
        <v>4500</v>
      </c>
      <c r="R91" s="175" t="s">
        <v>439</v>
      </c>
      <c r="S91" s="181">
        <v>106</v>
      </c>
      <c r="T91" s="181">
        <v>4394</v>
      </c>
      <c r="U91" s="175" t="s">
        <v>728</v>
      </c>
      <c r="V91" s="175" t="s">
        <v>647</v>
      </c>
      <c r="W91" s="175"/>
      <c r="X91" s="175"/>
      <c r="Y91" s="175"/>
      <c r="Z91" s="175"/>
    </row>
    <row r="92" spans="1:26" x14ac:dyDescent="0.25">
      <c r="A92" s="175"/>
      <c r="B92" s="175"/>
      <c r="C92" s="175"/>
      <c r="D92" s="175"/>
      <c r="E92" s="175"/>
      <c r="F92" s="175"/>
      <c r="G92" s="175" t="s">
        <v>642</v>
      </c>
      <c r="H92" s="175" t="s">
        <v>733</v>
      </c>
      <c r="I92" s="175"/>
      <c r="J92" s="175" t="s">
        <v>42</v>
      </c>
      <c r="K92" s="175" t="s">
        <v>644</v>
      </c>
      <c r="L92" s="175">
        <v>1</v>
      </c>
      <c r="M92" s="175" t="s">
        <v>645</v>
      </c>
      <c r="N92" s="181">
        <v>0</v>
      </c>
      <c r="O92" s="181">
        <v>0</v>
      </c>
      <c r="P92" s="181">
        <v>3700</v>
      </c>
      <c r="Q92" s="181">
        <v>3700</v>
      </c>
      <c r="R92" s="175" t="s">
        <v>438</v>
      </c>
      <c r="S92" s="181">
        <v>93</v>
      </c>
      <c r="T92" s="181">
        <v>3607</v>
      </c>
      <c r="U92" s="175" t="s">
        <v>728</v>
      </c>
      <c r="V92" s="175" t="s">
        <v>647</v>
      </c>
      <c r="W92" s="175"/>
      <c r="X92" s="175"/>
      <c r="Y92" s="175"/>
      <c r="Z92" s="175"/>
    </row>
    <row r="93" spans="1:26" x14ac:dyDescent="0.25">
      <c r="A93" s="175"/>
      <c r="B93" s="175"/>
      <c r="C93" s="175"/>
      <c r="D93" s="175"/>
      <c r="E93" s="175"/>
      <c r="F93" s="175"/>
      <c r="G93" s="175" t="s">
        <v>642</v>
      </c>
      <c r="H93" s="175" t="s">
        <v>734</v>
      </c>
      <c r="I93" s="175"/>
      <c r="J93" s="175" t="s">
        <v>42</v>
      </c>
      <c r="K93" s="175" t="s">
        <v>644</v>
      </c>
      <c r="L93" s="175">
        <v>1</v>
      </c>
      <c r="M93" s="175" t="s">
        <v>645</v>
      </c>
      <c r="N93" s="181">
        <v>0</v>
      </c>
      <c r="O93" s="181">
        <v>0</v>
      </c>
      <c r="P93" s="181">
        <v>2500</v>
      </c>
      <c r="Q93" s="181">
        <v>2500</v>
      </c>
      <c r="R93" s="175" t="s">
        <v>438</v>
      </c>
      <c r="S93" s="181">
        <v>75</v>
      </c>
      <c r="T93" s="181">
        <v>2425</v>
      </c>
      <c r="U93" s="175" t="s">
        <v>728</v>
      </c>
      <c r="V93" s="175" t="s">
        <v>647</v>
      </c>
      <c r="W93" s="175"/>
      <c r="X93" s="175"/>
      <c r="Y93" s="175"/>
      <c r="Z93" s="175"/>
    </row>
    <row r="94" spans="1:26" x14ac:dyDescent="0.25">
      <c r="A94" s="175"/>
      <c r="B94" s="175"/>
      <c r="C94" s="175"/>
      <c r="D94" s="175"/>
      <c r="E94" s="175"/>
      <c r="F94" s="175"/>
      <c r="G94" s="175" t="s">
        <v>642</v>
      </c>
      <c r="H94" s="175" t="s">
        <v>735</v>
      </c>
      <c r="I94" s="175"/>
      <c r="J94" s="175" t="s">
        <v>42</v>
      </c>
      <c r="K94" s="175" t="s">
        <v>644</v>
      </c>
      <c r="L94" s="175">
        <v>1</v>
      </c>
      <c r="M94" s="175" t="s">
        <v>645</v>
      </c>
      <c r="N94" s="181">
        <v>0</v>
      </c>
      <c r="O94" s="181">
        <v>0</v>
      </c>
      <c r="P94" s="181">
        <v>1700</v>
      </c>
      <c r="Q94" s="181">
        <v>1700</v>
      </c>
      <c r="R94" s="175" t="s">
        <v>438</v>
      </c>
      <c r="S94" s="181">
        <v>62</v>
      </c>
      <c r="T94" s="181">
        <v>1638</v>
      </c>
      <c r="U94" s="175" t="s">
        <v>728</v>
      </c>
      <c r="V94" s="175" t="s">
        <v>647</v>
      </c>
      <c r="W94" s="175"/>
      <c r="X94" s="175"/>
      <c r="Y94" s="175"/>
      <c r="Z94" s="175"/>
    </row>
    <row r="95" spans="1:26" x14ac:dyDescent="0.25">
      <c r="A95" s="175"/>
      <c r="B95" s="175"/>
      <c r="C95" s="175"/>
      <c r="D95" s="175"/>
      <c r="E95" s="175"/>
      <c r="F95" s="175"/>
      <c r="G95" s="175" t="s">
        <v>652</v>
      </c>
      <c r="H95" s="175" t="s">
        <v>736</v>
      </c>
      <c r="I95" s="175"/>
      <c r="J95" s="175" t="s">
        <v>547</v>
      </c>
      <c r="K95" s="175" t="s">
        <v>687</v>
      </c>
      <c r="L95" s="175">
        <v>1</v>
      </c>
      <c r="M95" s="175" t="s">
        <v>645</v>
      </c>
      <c r="N95" s="181">
        <v>0</v>
      </c>
      <c r="O95" s="181">
        <v>0</v>
      </c>
      <c r="P95" s="181">
        <v>130500</v>
      </c>
      <c r="Q95" s="181">
        <v>130500</v>
      </c>
      <c r="R95" s="175" t="s">
        <v>439</v>
      </c>
      <c r="S95" s="181">
        <v>3962</v>
      </c>
      <c r="T95" s="181">
        <v>126538</v>
      </c>
      <c r="U95" s="175" t="s">
        <v>728</v>
      </c>
      <c r="V95" s="175" t="s">
        <v>647</v>
      </c>
      <c r="W95" s="175"/>
      <c r="X95" s="175"/>
      <c r="Y95" s="175"/>
      <c r="Z95" s="175"/>
    </row>
    <row r="96" spans="1:26" x14ac:dyDescent="0.25">
      <c r="A96" s="175"/>
      <c r="B96" s="175"/>
      <c r="C96" s="175"/>
      <c r="D96" s="175"/>
      <c r="E96" s="175"/>
      <c r="F96" s="175"/>
      <c r="G96" s="175" t="s">
        <v>652</v>
      </c>
      <c r="H96" s="175" t="s">
        <v>737</v>
      </c>
      <c r="I96" s="175"/>
      <c r="J96" s="175" t="s">
        <v>547</v>
      </c>
      <c r="K96" s="175" t="s">
        <v>687</v>
      </c>
      <c r="L96" s="175">
        <v>1</v>
      </c>
      <c r="M96" s="175" t="s">
        <v>645</v>
      </c>
      <c r="N96" s="181">
        <v>0</v>
      </c>
      <c r="O96" s="181">
        <v>0</v>
      </c>
      <c r="P96" s="181">
        <v>1800</v>
      </c>
      <c r="Q96" s="181">
        <v>1800</v>
      </c>
      <c r="R96" s="175" t="s">
        <v>438</v>
      </c>
      <c r="S96" s="181">
        <v>101</v>
      </c>
      <c r="T96" s="181">
        <v>1699</v>
      </c>
      <c r="U96" s="175" t="s">
        <v>728</v>
      </c>
      <c r="V96" s="175" t="s">
        <v>647</v>
      </c>
      <c r="W96" s="175"/>
      <c r="X96" s="175"/>
      <c r="Y96" s="175"/>
      <c r="Z96" s="175"/>
    </row>
    <row r="97" spans="1:26" x14ac:dyDescent="0.25">
      <c r="A97" s="175"/>
      <c r="B97" s="175"/>
      <c r="C97" s="175"/>
      <c r="D97" s="175"/>
      <c r="E97" s="175"/>
      <c r="F97" s="175"/>
      <c r="G97" s="175" t="s">
        <v>642</v>
      </c>
      <c r="H97" s="175" t="s">
        <v>738</v>
      </c>
      <c r="I97" s="175"/>
      <c r="J97" s="175" t="s">
        <v>42</v>
      </c>
      <c r="K97" s="175" t="s">
        <v>644</v>
      </c>
      <c r="L97" s="175">
        <v>1</v>
      </c>
      <c r="M97" s="175" t="s">
        <v>645</v>
      </c>
      <c r="N97" s="181">
        <v>0</v>
      </c>
      <c r="O97" s="181">
        <v>0</v>
      </c>
      <c r="P97" s="181">
        <v>6000</v>
      </c>
      <c r="Q97" s="181">
        <v>6000</v>
      </c>
      <c r="R97" s="175" t="s">
        <v>439</v>
      </c>
      <c r="S97" s="181">
        <v>129</v>
      </c>
      <c r="T97" s="181">
        <v>5871</v>
      </c>
      <c r="U97" s="175" t="s">
        <v>728</v>
      </c>
      <c r="V97" s="175" t="s">
        <v>647</v>
      </c>
      <c r="W97" s="175"/>
      <c r="X97" s="175"/>
      <c r="Y97" s="175"/>
      <c r="Z97" s="175"/>
    </row>
    <row r="98" spans="1:26" x14ac:dyDescent="0.25">
      <c r="A98" s="175"/>
      <c r="B98" s="175"/>
      <c r="C98" s="175"/>
      <c r="D98" s="175"/>
      <c r="E98" s="175"/>
      <c r="F98" s="175"/>
      <c r="G98" s="175" t="s">
        <v>642</v>
      </c>
      <c r="H98" s="175" t="s">
        <v>739</v>
      </c>
      <c r="I98" s="175"/>
      <c r="J98" s="175" t="s">
        <v>42</v>
      </c>
      <c r="K98" s="175" t="s">
        <v>644</v>
      </c>
      <c r="L98" s="175">
        <v>1</v>
      </c>
      <c r="M98" s="175" t="s">
        <v>645</v>
      </c>
      <c r="N98" s="181">
        <v>0</v>
      </c>
      <c r="O98" s="181">
        <v>0</v>
      </c>
      <c r="P98" s="181">
        <v>3400</v>
      </c>
      <c r="Q98" s="181">
        <v>3400</v>
      </c>
      <c r="R98" s="175" t="s">
        <v>438</v>
      </c>
      <c r="S98" s="181">
        <v>88</v>
      </c>
      <c r="T98" s="181">
        <v>3312</v>
      </c>
      <c r="U98" s="175" t="s">
        <v>728</v>
      </c>
      <c r="V98" s="175" t="s">
        <v>647</v>
      </c>
      <c r="W98" s="175"/>
      <c r="X98" s="175"/>
      <c r="Y98" s="175"/>
      <c r="Z98" s="175"/>
    </row>
    <row r="99" spans="1:26" x14ac:dyDescent="0.25">
      <c r="A99" s="175"/>
      <c r="B99" s="175"/>
      <c r="C99" s="175"/>
      <c r="D99" s="175"/>
      <c r="E99" s="175"/>
      <c r="F99" s="175"/>
      <c r="G99" s="175" t="s">
        <v>642</v>
      </c>
      <c r="H99" s="175" t="s">
        <v>740</v>
      </c>
      <c r="I99" s="175"/>
      <c r="J99" s="175" t="s">
        <v>42</v>
      </c>
      <c r="K99" s="175" t="s">
        <v>644</v>
      </c>
      <c r="L99" s="175">
        <v>1</v>
      </c>
      <c r="M99" s="175" t="s">
        <v>645</v>
      </c>
      <c r="N99" s="181">
        <v>0</v>
      </c>
      <c r="O99" s="181">
        <v>0</v>
      </c>
      <c r="P99" s="181">
        <v>2400</v>
      </c>
      <c r="Q99" s="181">
        <v>2400</v>
      </c>
      <c r="R99" s="175" t="s">
        <v>438</v>
      </c>
      <c r="S99" s="181">
        <v>73</v>
      </c>
      <c r="T99" s="181">
        <v>2327</v>
      </c>
      <c r="U99" s="175" t="s">
        <v>728</v>
      </c>
      <c r="V99" s="175" t="s">
        <v>647</v>
      </c>
      <c r="W99" s="175"/>
      <c r="X99" s="175"/>
      <c r="Y99" s="175"/>
      <c r="Z99" s="175"/>
    </row>
    <row r="100" spans="1:26" x14ac:dyDescent="0.25">
      <c r="A100" s="175"/>
      <c r="B100" s="175"/>
      <c r="C100" s="175"/>
      <c r="D100" s="175"/>
      <c r="E100" s="175"/>
      <c r="F100" s="175"/>
      <c r="G100" s="175" t="s">
        <v>642</v>
      </c>
      <c r="H100" s="175" t="s">
        <v>741</v>
      </c>
      <c r="I100" s="175"/>
      <c r="J100" s="175" t="s">
        <v>42</v>
      </c>
      <c r="K100" s="175" t="s">
        <v>644</v>
      </c>
      <c r="L100" s="175">
        <v>1</v>
      </c>
      <c r="M100" s="175" t="s">
        <v>645</v>
      </c>
      <c r="N100" s="181">
        <v>0</v>
      </c>
      <c r="O100" s="181">
        <v>0</v>
      </c>
      <c r="P100" s="181">
        <v>800</v>
      </c>
      <c r="Q100" s="181">
        <v>800</v>
      </c>
      <c r="R100" s="175" t="s">
        <v>438</v>
      </c>
      <c r="S100" s="181">
        <v>48</v>
      </c>
      <c r="T100" s="181">
        <v>752</v>
      </c>
      <c r="U100" s="175" t="s">
        <v>728</v>
      </c>
      <c r="V100" s="175" t="s">
        <v>647</v>
      </c>
      <c r="W100" s="175"/>
      <c r="X100" s="175"/>
      <c r="Y100" s="175"/>
      <c r="Z100" s="175"/>
    </row>
    <row r="101" spans="1:26" x14ac:dyDescent="0.25">
      <c r="A101" s="175"/>
      <c r="B101" s="175"/>
      <c r="C101" s="175"/>
      <c r="D101" s="175"/>
      <c r="E101" s="175"/>
      <c r="F101" s="175"/>
      <c r="G101" s="175" t="s">
        <v>652</v>
      </c>
      <c r="H101" s="175" t="s">
        <v>742</v>
      </c>
      <c r="I101" s="175"/>
      <c r="J101" s="175" t="s">
        <v>42</v>
      </c>
      <c r="K101" s="175" t="s">
        <v>644</v>
      </c>
      <c r="L101" s="175">
        <v>1</v>
      </c>
      <c r="M101" s="175" t="s">
        <v>645</v>
      </c>
      <c r="N101" s="181">
        <v>0</v>
      </c>
      <c r="O101" s="181">
        <v>0</v>
      </c>
      <c r="P101" s="181">
        <v>5000</v>
      </c>
      <c r="Q101" s="181">
        <v>5000</v>
      </c>
      <c r="R101" s="175" t="s">
        <v>438</v>
      </c>
      <c r="S101" s="181">
        <v>113</v>
      </c>
      <c r="T101" s="181">
        <v>4887</v>
      </c>
      <c r="U101" s="175" t="s">
        <v>743</v>
      </c>
      <c r="V101" s="175" t="s">
        <v>647</v>
      </c>
      <c r="W101" s="175"/>
      <c r="X101" s="175"/>
      <c r="Y101" s="175"/>
      <c r="Z101" s="175"/>
    </row>
    <row r="102" spans="1:26" x14ac:dyDescent="0.25">
      <c r="A102" s="175"/>
      <c r="B102" s="175"/>
      <c r="C102" s="175"/>
      <c r="D102" s="175"/>
      <c r="E102" s="175"/>
      <c r="F102" s="175"/>
      <c r="G102" s="175" t="s">
        <v>642</v>
      </c>
      <c r="H102" s="175" t="s">
        <v>744</v>
      </c>
      <c r="I102" s="175"/>
      <c r="J102" s="175" t="s">
        <v>42</v>
      </c>
      <c r="K102" s="175" t="s">
        <v>644</v>
      </c>
      <c r="L102" s="175">
        <v>1</v>
      </c>
      <c r="M102" s="175" t="s">
        <v>645</v>
      </c>
      <c r="N102" s="181">
        <v>0</v>
      </c>
      <c r="O102" s="181">
        <v>0</v>
      </c>
      <c r="P102" s="181">
        <v>5000</v>
      </c>
      <c r="Q102" s="181">
        <v>5000</v>
      </c>
      <c r="R102" s="175" t="s">
        <v>438</v>
      </c>
      <c r="S102" s="181">
        <v>113</v>
      </c>
      <c r="T102" s="181">
        <v>4887</v>
      </c>
      <c r="U102" s="175" t="s">
        <v>743</v>
      </c>
      <c r="V102" s="175" t="s">
        <v>647</v>
      </c>
      <c r="W102" s="175"/>
      <c r="X102" s="175"/>
      <c r="Y102" s="175"/>
      <c r="Z102" s="175"/>
    </row>
    <row r="103" spans="1:26" x14ac:dyDescent="0.25">
      <c r="A103" s="175"/>
      <c r="B103" s="175"/>
      <c r="C103" s="175"/>
      <c r="D103" s="175"/>
      <c r="E103" s="175"/>
      <c r="F103" s="175"/>
      <c r="G103" s="175" t="s">
        <v>652</v>
      </c>
      <c r="H103" s="175" t="s">
        <v>745</v>
      </c>
      <c r="I103" s="175"/>
      <c r="J103" s="175" t="s">
        <v>42</v>
      </c>
      <c r="K103" s="175" t="s">
        <v>644</v>
      </c>
      <c r="L103" s="175">
        <v>1</v>
      </c>
      <c r="M103" s="175" t="s">
        <v>645</v>
      </c>
      <c r="N103" s="181">
        <v>0</v>
      </c>
      <c r="O103" s="181">
        <v>0</v>
      </c>
      <c r="P103" s="181">
        <v>500</v>
      </c>
      <c r="Q103" s="181">
        <v>500</v>
      </c>
      <c r="R103" s="175" t="s">
        <v>438</v>
      </c>
      <c r="S103" s="181">
        <v>44</v>
      </c>
      <c r="T103" s="181">
        <v>456</v>
      </c>
      <c r="U103" s="175" t="s">
        <v>743</v>
      </c>
      <c r="V103" s="175" t="s">
        <v>647</v>
      </c>
      <c r="W103" s="175"/>
      <c r="X103" s="175"/>
      <c r="Y103" s="175"/>
      <c r="Z103" s="175"/>
    </row>
    <row r="104" spans="1:26" x14ac:dyDescent="0.25">
      <c r="A104" s="175"/>
      <c r="B104" s="175"/>
      <c r="C104" s="175"/>
      <c r="D104" s="175"/>
      <c r="E104" s="175"/>
      <c r="F104" s="175"/>
      <c r="G104" s="175" t="s">
        <v>642</v>
      </c>
      <c r="H104" s="175" t="s">
        <v>746</v>
      </c>
      <c r="I104" s="175"/>
      <c r="J104" s="175" t="s">
        <v>42</v>
      </c>
      <c r="K104" s="175" t="s">
        <v>644</v>
      </c>
      <c r="L104" s="175">
        <v>1</v>
      </c>
      <c r="M104" s="175" t="s">
        <v>645</v>
      </c>
      <c r="N104" s="181">
        <v>0</v>
      </c>
      <c r="O104" s="181">
        <v>0</v>
      </c>
      <c r="P104" s="181">
        <v>2000</v>
      </c>
      <c r="Q104" s="181">
        <v>2000</v>
      </c>
      <c r="R104" s="175" t="s">
        <v>438</v>
      </c>
      <c r="S104" s="181">
        <v>67</v>
      </c>
      <c r="T104" s="181">
        <v>1933</v>
      </c>
      <c r="U104" s="175" t="s">
        <v>743</v>
      </c>
      <c r="V104" s="175" t="s">
        <v>647</v>
      </c>
      <c r="W104" s="175"/>
      <c r="X104" s="175"/>
      <c r="Y104" s="175"/>
      <c r="Z104" s="175"/>
    </row>
    <row r="105" spans="1:26" x14ac:dyDescent="0.25">
      <c r="A105" s="175"/>
      <c r="B105" s="175"/>
      <c r="C105" s="175"/>
      <c r="D105" s="175"/>
      <c r="E105" s="175"/>
      <c r="F105" s="175"/>
      <c r="G105" s="175" t="s">
        <v>642</v>
      </c>
      <c r="H105" s="175" t="s">
        <v>747</v>
      </c>
      <c r="I105" s="175"/>
      <c r="J105" s="175" t="s">
        <v>42</v>
      </c>
      <c r="K105" s="175" t="s">
        <v>644</v>
      </c>
      <c r="L105" s="175">
        <v>1</v>
      </c>
      <c r="M105" s="175" t="s">
        <v>645</v>
      </c>
      <c r="N105" s="181">
        <v>0</v>
      </c>
      <c r="O105" s="181">
        <v>0</v>
      </c>
      <c r="P105" s="181">
        <v>3400</v>
      </c>
      <c r="Q105" s="181">
        <v>3400</v>
      </c>
      <c r="R105" s="175" t="s">
        <v>438</v>
      </c>
      <c r="S105" s="181">
        <v>88</v>
      </c>
      <c r="T105" s="181">
        <v>3312</v>
      </c>
      <c r="U105" s="175" t="s">
        <v>748</v>
      </c>
      <c r="V105" s="175" t="s">
        <v>647</v>
      </c>
      <c r="W105" s="175"/>
      <c r="X105" s="175"/>
      <c r="Y105" s="175"/>
      <c r="Z105" s="175"/>
    </row>
    <row r="106" spans="1:26" x14ac:dyDescent="0.25">
      <c r="A106" s="175"/>
      <c r="B106" s="175"/>
      <c r="C106" s="175"/>
      <c r="D106" s="175"/>
      <c r="E106" s="175"/>
      <c r="F106" s="175"/>
      <c r="G106" s="175" t="s">
        <v>642</v>
      </c>
      <c r="H106" s="175" t="s">
        <v>749</v>
      </c>
      <c r="I106" s="175"/>
      <c r="J106" s="175" t="s">
        <v>42</v>
      </c>
      <c r="K106" s="175" t="s">
        <v>644</v>
      </c>
      <c r="L106" s="175">
        <v>1</v>
      </c>
      <c r="M106" s="175" t="s">
        <v>645</v>
      </c>
      <c r="N106" s="181">
        <v>0</v>
      </c>
      <c r="O106" s="181">
        <v>0</v>
      </c>
      <c r="P106" s="181">
        <v>900</v>
      </c>
      <c r="Q106" s="181">
        <v>900</v>
      </c>
      <c r="R106" s="175" t="s">
        <v>438</v>
      </c>
      <c r="S106" s="181">
        <v>50</v>
      </c>
      <c r="T106" s="181">
        <v>850</v>
      </c>
      <c r="U106" s="175" t="s">
        <v>748</v>
      </c>
      <c r="V106" s="175" t="s">
        <v>647</v>
      </c>
      <c r="W106" s="175"/>
      <c r="X106" s="175"/>
      <c r="Y106" s="175"/>
      <c r="Z106" s="175"/>
    </row>
    <row r="107" spans="1:26" x14ac:dyDescent="0.25">
      <c r="A107" s="175"/>
      <c r="B107" s="175"/>
      <c r="C107" s="175"/>
      <c r="D107" s="175"/>
      <c r="E107" s="175"/>
      <c r="F107" s="175"/>
      <c r="G107" s="175" t="s">
        <v>652</v>
      </c>
      <c r="H107" s="175" t="s">
        <v>750</v>
      </c>
      <c r="I107" s="175"/>
      <c r="J107" s="175" t="s">
        <v>42</v>
      </c>
      <c r="K107" s="175" t="s">
        <v>644</v>
      </c>
      <c r="L107" s="175">
        <v>1</v>
      </c>
      <c r="M107" s="175" t="s">
        <v>645</v>
      </c>
      <c r="N107" s="181">
        <v>0</v>
      </c>
      <c r="O107" s="181">
        <v>0</v>
      </c>
      <c r="P107" s="181">
        <v>500</v>
      </c>
      <c r="Q107" s="181">
        <v>500</v>
      </c>
      <c r="R107" s="175" t="s">
        <v>438</v>
      </c>
      <c r="S107" s="181">
        <v>44</v>
      </c>
      <c r="T107" s="181">
        <v>456</v>
      </c>
      <c r="U107" s="175" t="s">
        <v>748</v>
      </c>
      <c r="V107" s="175" t="s">
        <v>647</v>
      </c>
      <c r="W107" s="175"/>
      <c r="X107" s="175"/>
      <c r="Y107" s="175"/>
      <c r="Z107" s="175"/>
    </row>
    <row r="108" spans="1:26" x14ac:dyDescent="0.25">
      <c r="A108" s="175"/>
      <c r="B108" s="175"/>
      <c r="C108" s="175"/>
      <c r="D108" s="175"/>
      <c r="E108" s="175"/>
      <c r="F108" s="175"/>
      <c r="G108" s="175" t="s">
        <v>642</v>
      </c>
      <c r="H108" s="175" t="s">
        <v>751</v>
      </c>
      <c r="I108" s="175"/>
      <c r="J108" s="175" t="s">
        <v>547</v>
      </c>
      <c r="K108" s="175" t="s">
        <v>687</v>
      </c>
      <c r="L108" s="175">
        <v>1</v>
      </c>
      <c r="M108" s="175" t="s">
        <v>645</v>
      </c>
      <c r="N108" s="181">
        <v>0</v>
      </c>
      <c r="O108" s="181">
        <v>0</v>
      </c>
      <c r="P108" s="181">
        <v>2500</v>
      </c>
      <c r="Q108" s="181">
        <v>2500</v>
      </c>
      <c r="R108" s="175" t="s">
        <v>438</v>
      </c>
      <c r="S108" s="181">
        <v>123</v>
      </c>
      <c r="T108" s="181">
        <v>2377</v>
      </c>
      <c r="U108" s="175" t="s">
        <v>748</v>
      </c>
      <c r="V108" s="175" t="s">
        <v>647</v>
      </c>
      <c r="W108" s="175"/>
      <c r="X108" s="175"/>
      <c r="Y108" s="175"/>
      <c r="Z108" s="175"/>
    </row>
    <row r="109" spans="1:26" x14ac:dyDescent="0.25">
      <c r="A109" s="175"/>
      <c r="B109" s="175"/>
      <c r="C109" s="175"/>
      <c r="D109" s="175"/>
      <c r="E109" s="175"/>
      <c r="F109" s="175"/>
      <c r="G109" s="175" t="s">
        <v>652</v>
      </c>
      <c r="H109" s="175" t="s">
        <v>752</v>
      </c>
      <c r="I109" s="175"/>
      <c r="J109" s="175" t="s">
        <v>42</v>
      </c>
      <c r="K109" s="175" t="s">
        <v>644</v>
      </c>
      <c r="L109" s="175">
        <v>1</v>
      </c>
      <c r="M109" s="175" t="s">
        <v>645</v>
      </c>
      <c r="N109" s="181">
        <v>0</v>
      </c>
      <c r="O109" s="181">
        <v>0</v>
      </c>
      <c r="P109" s="181">
        <v>1500</v>
      </c>
      <c r="Q109" s="181">
        <v>1500</v>
      </c>
      <c r="R109" s="175" t="s">
        <v>438</v>
      </c>
      <c r="S109" s="181">
        <v>60</v>
      </c>
      <c r="T109" s="181">
        <v>1440</v>
      </c>
      <c r="U109" s="175" t="s">
        <v>748</v>
      </c>
      <c r="V109" s="175" t="s">
        <v>647</v>
      </c>
      <c r="W109" s="175"/>
      <c r="X109" s="175"/>
      <c r="Y109" s="175"/>
      <c r="Z109" s="175"/>
    </row>
    <row r="110" spans="1:26" x14ac:dyDescent="0.25">
      <c r="A110" s="175"/>
      <c r="B110" s="175"/>
      <c r="C110" s="175"/>
      <c r="D110" s="175"/>
      <c r="E110" s="175"/>
      <c r="F110" s="175"/>
      <c r="G110" s="175" t="s">
        <v>642</v>
      </c>
      <c r="H110" s="175" t="s">
        <v>753</v>
      </c>
      <c r="I110" s="175"/>
      <c r="J110" s="175" t="s">
        <v>42</v>
      </c>
      <c r="K110" s="175" t="s">
        <v>644</v>
      </c>
      <c r="L110" s="175">
        <v>1</v>
      </c>
      <c r="M110" s="175" t="s">
        <v>645</v>
      </c>
      <c r="N110" s="181">
        <v>0</v>
      </c>
      <c r="O110" s="181">
        <v>0</v>
      </c>
      <c r="P110" s="181">
        <v>2000</v>
      </c>
      <c r="Q110" s="181">
        <v>2000</v>
      </c>
      <c r="R110" s="175" t="s">
        <v>438</v>
      </c>
      <c r="S110" s="181">
        <v>67</v>
      </c>
      <c r="T110" s="181">
        <v>1933</v>
      </c>
      <c r="U110" s="175" t="s">
        <v>748</v>
      </c>
      <c r="V110" s="175" t="s">
        <v>647</v>
      </c>
      <c r="W110" s="175"/>
      <c r="X110" s="175"/>
      <c r="Y110" s="175"/>
      <c r="Z110" s="175"/>
    </row>
    <row r="111" spans="1:26" x14ac:dyDescent="0.25">
      <c r="A111" s="175"/>
      <c r="B111" s="175"/>
      <c r="C111" s="175"/>
      <c r="D111" s="175"/>
      <c r="E111" s="175"/>
      <c r="F111" s="175"/>
      <c r="G111" s="175" t="s">
        <v>642</v>
      </c>
      <c r="H111" s="175" t="s">
        <v>754</v>
      </c>
      <c r="I111" s="175"/>
      <c r="J111" s="175" t="s">
        <v>42</v>
      </c>
      <c r="K111" s="175" t="s">
        <v>644</v>
      </c>
      <c r="L111" s="175">
        <v>1</v>
      </c>
      <c r="M111" s="175" t="s">
        <v>645</v>
      </c>
      <c r="N111" s="181">
        <v>0</v>
      </c>
      <c r="O111" s="181">
        <v>0</v>
      </c>
      <c r="P111" s="181">
        <v>62000</v>
      </c>
      <c r="Q111" s="181">
        <v>62000</v>
      </c>
      <c r="R111" s="175" t="s">
        <v>439</v>
      </c>
      <c r="S111" s="181">
        <v>995</v>
      </c>
      <c r="T111" s="181">
        <v>61005</v>
      </c>
      <c r="U111" s="175" t="s">
        <v>748</v>
      </c>
      <c r="V111" s="175" t="s">
        <v>647</v>
      </c>
      <c r="W111" s="175"/>
      <c r="X111" s="175"/>
      <c r="Y111" s="175"/>
      <c r="Z111" s="175"/>
    </row>
    <row r="112" spans="1:26" x14ac:dyDescent="0.25">
      <c r="A112" s="175"/>
      <c r="B112" s="175"/>
      <c r="C112" s="175"/>
      <c r="D112" s="175"/>
      <c r="E112" s="175"/>
      <c r="F112" s="175"/>
      <c r="G112" s="175" t="s">
        <v>652</v>
      </c>
      <c r="H112" s="175" t="s">
        <v>755</v>
      </c>
      <c r="I112" s="175"/>
      <c r="J112" s="175" t="s">
        <v>42</v>
      </c>
      <c r="K112" s="175" t="s">
        <v>644</v>
      </c>
      <c r="L112" s="175">
        <v>1</v>
      </c>
      <c r="M112" s="175" t="s">
        <v>645</v>
      </c>
      <c r="N112" s="181">
        <v>0</v>
      </c>
      <c r="O112" s="181">
        <v>0</v>
      </c>
      <c r="P112" s="181">
        <v>3700</v>
      </c>
      <c r="Q112" s="181">
        <v>3700</v>
      </c>
      <c r="R112" s="175" t="s">
        <v>438</v>
      </c>
      <c r="S112" s="181">
        <v>93</v>
      </c>
      <c r="T112" s="181">
        <v>3607</v>
      </c>
      <c r="U112" s="175" t="s">
        <v>756</v>
      </c>
      <c r="V112" s="175" t="s">
        <v>647</v>
      </c>
      <c r="W112" s="175"/>
      <c r="X112" s="175"/>
      <c r="Y112" s="175"/>
      <c r="Z112" s="175"/>
    </row>
    <row r="113" spans="1:26" x14ac:dyDescent="0.25">
      <c r="A113" s="175"/>
      <c r="B113" s="175"/>
      <c r="C113" s="175"/>
      <c r="D113" s="175"/>
      <c r="E113" s="175"/>
      <c r="F113" s="175"/>
      <c r="G113" s="175" t="s">
        <v>642</v>
      </c>
      <c r="H113" s="175" t="s">
        <v>757</v>
      </c>
      <c r="I113" s="175"/>
      <c r="J113" s="175" t="s">
        <v>42</v>
      </c>
      <c r="K113" s="175" t="s">
        <v>644</v>
      </c>
      <c r="L113" s="175">
        <v>1</v>
      </c>
      <c r="M113" s="175" t="s">
        <v>645</v>
      </c>
      <c r="N113" s="181">
        <v>0</v>
      </c>
      <c r="O113" s="181">
        <v>0</v>
      </c>
      <c r="P113" s="181">
        <v>5000</v>
      </c>
      <c r="Q113" s="181">
        <v>5000</v>
      </c>
      <c r="R113" s="175" t="s">
        <v>438</v>
      </c>
      <c r="S113" s="181">
        <v>113</v>
      </c>
      <c r="T113" s="181">
        <v>4887</v>
      </c>
      <c r="U113" s="175" t="s">
        <v>756</v>
      </c>
      <c r="V113" s="175" t="s">
        <v>647</v>
      </c>
      <c r="W113" s="175"/>
      <c r="X113" s="175"/>
      <c r="Y113" s="175"/>
      <c r="Z113" s="175"/>
    </row>
    <row r="114" spans="1:26" x14ac:dyDescent="0.25">
      <c r="A114" s="175"/>
      <c r="B114" s="175"/>
      <c r="C114" s="175"/>
      <c r="D114" s="175"/>
      <c r="E114" s="175"/>
      <c r="F114" s="175"/>
      <c r="G114" s="175" t="s">
        <v>642</v>
      </c>
      <c r="H114" s="175" t="s">
        <v>758</v>
      </c>
      <c r="I114" s="175"/>
      <c r="J114" s="175" t="s">
        <v>547</v>
      </c>
      <c r="K114" s="175" t="s">
        <v>687</v>
      </c>
      <c r="L114" s="175">
        <v>1</v>
      </c>
      <c r="M114" s="175" t="s">
        <v>645</v>
      </c>
      <c r="N114" s="181">
        <v>0</v>
      </c>
      <c r="O114" s="181">
        <v>0</v>
      </c>
      <c r="P114" s="181">
        <v>2000</v>
      </c>
      <c r="Q114" s="181">
        <v>2000</v>
      </c>
      <c r="R114" s="175" t="s">
        <v>438</v>
      </c>
      <c r="S114" s="181">
        <v>107</v>
      </c>
      <c r="T114" s="181">
        <v>1893</v>
      </c>
      <c r="U114" s="175" t="s">
        <v>756</v>
      </c>
      <c r="V114" s="175" t="s">
        <v>647</v>
      </c>
      <c r="W114" s="175"/>
      <c r="X114" s="175"/>
      <c r="Y114" s="175"/>
      <c r="Z114" s="175"/>
    </row>
    <row r="115" spans="1:26" x14ac:dyDescent="0.25">
      <c r="A115" s="175"/>
      <c r="B115" s="175"/>
      <c r="C115" s="175"/>
      <c r="D115" s="175"/>
      <c r="E115" s="175"/>
      <c r="F115" s="175"/>
      <c r="G115" s="175" t="s">
        <v>642</v>
      </c>
      <c r="H115" s="175" t="s">
        <v>759</v>
      </c>
      <c r="I115" s="175"/>
      <c r="J115" s="175" t="s">
        <v>42</v>
      </c>
      <c r="K115" s="175" t="s">
        <v>644</v>
      </c>
      <c r="L115" s="175">
        <v>1</v>
      </c>
      <c r="M115" s="175" t="s">
        <v>645</v>
      </c>
      <c r="N115" s="181">
        <v>0</v>
      </c>
      <c r="O115" s="181">
        <v>0</v>
      </c>
      <c r="P115" s="181">
        <v>5000</v>
      </c>
      <c r="Q115" s="181">
        <v>5000</v>
      </c>
      <c r="R115" s="175" t="s">
        <v>438</v>
      </c>
      <c r="S115" s="181">
        <v>113</v>
      </c>
      <c r="T115" s="181">
        <v>4887</v>
      </c>
      <c r="U115" s="175" t="s">
        <v>756</v>
      </c>
      <c r="V115" s="175" t="s">
        <v>647</v>
      </c>
      <c r="W115" s="175"/>
      <c r="X115" s="175"/>
      <c r="Y115" s="175"/>
      <c r="Z115" s="175"/>
    </row>
    <row r="116" spans="1:26" x14ac:dyDescent="0.25">
      <c r="A116" s="175"/>
      <c r="B116" s="175"/>
      <c r="C116" s="175"/>
      <c r="D116" s="175"/>
      <c r="E116" s="175"/>
      <c r="F116" s="175"/>
      <c r="G116" s="175" t="s">
        <v>652</v>
      </c>
      <c r="H116" s="175" t="s">
        <v>760</v>
      </c>
      <c r="I116" s="175"/>
      <c r="J116" s="175" t="s">
        <v>42</v>
      </c>
      <c r="K116" s="175" t="s">
        <v>644</v>
      </c>
      <c r="L116" s="175">
        <v>1</v>
      </c>
      <c r="M116" s="175" t="s">
        <v>645</v>
      </c>
      <c r="N116" s="181">
        <v>0</v>
      </c>
      <c r="O116" s="181">
        <v>0</v>
      </c>
      <c r="P116" s="181">
        <v>500</v>
      </c>
      <c r="Q116" s="181">
        <v>500</v>
      </c>
      <c r="R116" s="175" t="s">
        <v>438</v>
      </c>
      <c r="S116" s="181">
        <v>44</v>
      </c>
      <c r="T116" s="181">
        <v>456</v>
      </c>
      <c r="U116" s="175" t="s">
        <v>756</v>
      </c>
      <c r="V116" s="175" t="s">
        <v>647</v>
      </c>
      <c r="W116" s="175"/>
      <c r="X116" s="175"/>
      <c r="Y116" s="175"/>
      <c r="Z116" s="175"/>
    </row>
    <row r="117" spans="1:26" x14ac:dyDescent="0.25">
      <c r="A117" s="175"/>
      <c r="B117" s="175"/>
      <c r="C117" s="175"/>
      <c r="D117" s="175"/>
      <c r="E117" s="175"/>
      <c r="F117" s="175"/>
      <c r="G117" s="175" t="s">
        <v>642</v>
      </c>
      <c r="H117" s="175" t="s">
        <v>761</v>
      </c>
      <c r="I117" s="175"/>
      <c r="J117" s="175" t="s">
        <v>42</v>
      </c>
      <c r="K117" s="175" t="s">
        <v>644</v>
      </c>
      <c r="L117" s="175">
        <v>1</v>
      </c>
      <c r="M117" s="175" t="s">
        <v>645</v>
      </c>
      <c r="N117" s="181">
        <v>0</v>
      </c>
      <c r="O117" s="181">
        <v>0</v>
      </c>
      <c r="P117" s="181">
        <v>1700</v>
      </c>
      <c r="Q117" s="181">
        <v>1700</v>
      </c>
      <c r="R117" s="175" t="s">
        <v>438</v>
      </c>
      <c r="S117" s="181">
        <v>62</v>
      </c>
      <c r="T117" s="181">
        <v>1638</v>
      </c>
      <c r="U117" s="175" t="s">
        <v>756</v>
      </c>
      <c r="V117" s="175" t="s">
        <v>647</v>
      </c>
      <c r="W117" s="175"/>
      <c r="X117" s="175"/>
      <c r="Y117" s="175"/>
      <c r="Z117" s="175"/>
    </row>
    <row r="118" spans="1:26" x14ac:dyDescent="0.25">
      <c r="A118" s="175"/>
      <c r="B118" s="175"/>
      <c r="C118" s="175"/>
      <c r="D118" s="175"/>
      <c r="E118" s="175"/>
      <c r="F118" s="175"/>
      <c r="G118" s="175" t="s">
        <v>652</v>
      </c>
      <c r="H118" s="175" t="s">
        <v>762</v>
      </c>
      <c r="I118" s="175"/>
      <c r="J118" s="175" t="s">
        <v>42</v>
      </c>
      <c r="K118" s="175" t="s">
        <v>644</v>
      </c>
      <c r="L118" s="175">
        <v>1</v>
      </c>
      <c r="M118" s="175" t="s">
        <v>645</v>
      </c>
      <c r="N118" s="181">
        <v>0</v>
      </c>
      <c r="O118" s="181">
        <v>0</v>
      </c>
      <c r="P118" s="181">
        <v>500</v>
      </c>
      <c r="Q118" s="181">
        <v>500</v>
      </c>
      <c r="R118" s="175" t="s">
        <v>438</v>
      </c>
      <c r="S118" s="181">
        <v>44</v>
      </c>
      <c r="T118" s="181">
        <v>456</v>
      </c>
      <c r="U118" s="175" t="s">
        <v>756</v>
      </c>
      <c r="V118" s="175" t="s">
        <v>647</v>
      </c>
      <c r="W118" s="175"/>
      <c r="X118" s="175"/>
      <c r="Y118" s="175"/>
      <c r="Z118" s="175"/>
    </row>
    <row r="119" spans="1:26" x14ac:dyDescent="0.25">
      <c r="A119" s="175"/>
      <c r="B119" s="175"/>
      <c r="C119" s="175"/>
      <c r="D119" s="175"/>
      <c r="E119" s="175"/>
      <c r="F119" s="175"/>
      <c r="G119" s="175" t="s">
        <v>642</v>
      </c>
      <c r="H119" s="175" t="s">
        <v>763</v>
      </c>
      <c r="I119" s="175"/>
      <c r="J119" s="175" t="s">
        <v>42</v>
      </c>
      <c r="K119" s="175" t="s">
        <v>644</v>
      </c>
      <c r="L119" s="175">
        <v>1</v>
      </c>
      <c r="M119" s="175" t="s">
        <v>645</v>
      </c>
      <c r="N119" s="181">
        <v>0</v>
      </c>
      <c r="O119" s="181">
        <v>0</v>
      </c>
      <c r="P119" s="181">
        <v>1700</v>
      </c>
      <c r="Q119" s="181">
        <v>1700</v>
      </c>
      <c r="R119" s="175" t="s">
        <v>438</v>
      </c>
      <c r="S119" s="181">
        <v>62</v>
      </c>
      <c r="T119" s="181">
        <v>1638</v>
      </c>
      <c r="U119" s="175" t="s">
        <v>764</v>
      </c>
      <c r="V119" s="175" t="s">
        <v>647</v>
      </c>
      <c r="W119" s="175"/>
      <c r="X119" s="175"/>
      <c r="Y119" s="175"/>
      <c r="Z119" s="175"/>
    </row>
    <row r="120" spans="1:26" x14ac:dyDescent="0.25">
      <c r="A120" s="175"/>
      <c r="B120" s="175"/>
      <c r="C120" s="175"/>
      <c r="D120" s="175"/>
      <c r="E120" s="175"/>
      <c r="F120" s="175"/>
      <c r="G120" s="175" t="s">
        <v>642</v>
      </c>
      <c r="H120" s="175" t="s">
        <v>765</v>
      </c>
      <c r="I120" s="175"/>
      <c r="J120" s="175" t="s">
        <v>42</v>
      </c>
      <c r="K120" s="175" t="s">
        <v>644</v>
      </c>
      <c r="L120" s="175">
        <v>1</v>
      </c>
      <c r="M120" s="175" t="s">
        <v>645</v>
      </c>
      <c r="N120" s="181">
        <v>0</v>
      </c>
      <c r="O120" s="181">
        <v>0</v>
      </c>
      <c r="P120" s="181">
        <v>53000</v>
      </c>
      <c r="Q120" s="181">
        <v>53000</v>
      </c>
      <c r="R120" s="175" t="s">
        <v>439</v>
      </c>
      <c r="S120" s="181">
        <v>856</v>
      </c>
      <c r="T120" s="181">
        <v>52144</v>
      </c>
      <c r="U120" s="175" t="s">
        <v>764</v>
      </c>
      <c r="V120" s="175" t="s">
        <v>647</v>
      </c>
      <c r="W120" s="175"/>
      <c r="X120" s="175"/>
      <c r="Y120" s="175"/>
      <c r="Z120" s="175"/>
    </row>
    <row r="121" spans="1:26" x14ac:dyDescent="0.25">
      <c r="A121" s="175"/>
      <c r="B121" s="175"/>
      <c r="C121" s="175"/>
      <c r="D121" s="175"/>
      <c r="E121" s="175"/>
      <c r="F121" s="175"/>
      <c r="G121" s="175" t="s">
        <v>652</v>
      </c>
      <c r="H121" s="175" t="s">
        <v>766</v>
      </c>
      <c r="I121" s="175"/>
      <c r="J121" s="175" t="s">
        <v>547</v>
      </c>
      <c r="K121" s="175" t="s">
        <v>687</v>
      </c>
      <c r="L121" s="175">
        <v>1</v>
      </c>
      <c r="M121" s="175" t="s">
        <v>645</v>
      </c>
      <c r="N121" s="181">
        <v>0</v>
      </c>
      <c r="O121" s="181">
        <v>0</v>
      </c>
      <c r="P121" s="181">
        <v>9000</v>
      </c>
      <c r="Q121" s="181">
        <v>9000</v>
      </c>
      <c r="R121" s="175" t="s">
        <v>439</v>
      </c>
      <c r="S121" s="181">
        <v>318</v>
      </c>
      <c r="T121" s="181">
        <v>8682</v>
      </c>
      <c r="U121" s="175" t="s">
        <v>764</v>
      </c>
      <c r="V121" s="175" t="s">
        <v>647</v>
      </c>
      <c r="W121" s="175"/>
      <c r="X121" s="175"/>
      <c r="Y121" s="175"/>
      <c r="Z121" s="175"/>
    </row>
    <row r="122" spans="1:26" x14ac:dyDescent="0.25">
      <c r="A122" s="175"/>
      <c r="B122" s="175"/>
      <c r="C122" s="175"/>
      <c r="D122" s="175"/>
      <c r="E122" s="175"/>
      <c r="F122" s="175"/>
      <c r="G122" s="175" t="s">
        <v>642</v>
      </c>
      <c r="H122" s="175" t="s">
        <v>767</v>
      </c>
      <c r="I122" s="175"/>
      <c r="J122" s="175" t="s">
        <v>42</v>
      </c>
      <c r="K122" s="175" t="s">
        <v>644</v>
      </c>
      <c r="L122" s="175">
        <v>1</v>
      </c>
      <c r="M122" s="175" t="s">
        <v>645</v>
      </c>
      <c r="N122" s="181">
        <v>0</v>
      </c>
      <c r="O122" s="181">
        <v>0</v>
      </c>
      <c r="P122" s="181">
        <v>4500</v>
      </c>
      <c r="Q122" s="181">
        <v>4500</v>
      </c>
      <c r="R122" s="175" t="s">
        <v>439</v>
      </c>
      <c r="S122" s="181">
        <v>106</v>
      </c>
      <c r="T122" s="181">
        <v>4394</v>
      </c>
      <c r="U122" s="175" t="s">
        <v>764</v>
      </c>
      <c r="V122" s="175" t="s">
        <v>647</v>
      </c>
      <c r="W122" s="175"/>
      <c r="X122" s="175"/>
      <c r="Y122" s="175"/>
      <c r="Z122" s="175"/>
    </row>
    <row r="123" spans="1:26" x14ac:dyDescent="0.25">
      <c r="A123" s="175"/>
      <c r="B123" s="175"/>
      <c r="C123" s="175"/>
      <c r="D123" s="175"/>
      <c r="E123" s="175"/>
      <c r="F123" s="175"/>
      <c r="G123" s="175" t="s">
        <v>652</v>
      </c>
      <c r="H123" s="175" t="s">
        <v>768</v>
      </c>
      <c r="I123" s="175"/>
      <c r="J123" s="175" t="s">
        <v>547</v>
      </c>
      <c r="K123" s="175" t="s">
        <v>687</v>
      </c>
      <c r="L123" s="175">
        <v>1</v>
      </c>
      <c r="M123" s="175" t="s">
        <v>645</v>
      </c>
      <c r="N123" s="181">
        <v>0</v>
      </c>
      <c r="O123" s="181">
        <v>0</v>
      </c>
      <c r="P123" s="181">
        <v>2500</v>
      </c>
      <c r="Q123" s="181">
        <v>2500</v>
      </c>
      <c r="R123" s="175" t="s">
        <v>438</v>
      </c>
      <c r="S123" s="181">
        <v>123</v>
      </c>
      <c r="T123" s="181">
        <v>2377</v>
      </c>
      <c r="U123" s="175" t="s">
        <v>764</v>
      </c>
      <c r="V123" s="175" t="s">
        <v>647</v>
      </c>
      <c r="W123" s="175"/>
      <c r="X123" s="175"/>
      <c r="Y123" s="175"/>
      <c r="Z123" s="175"/>
    </row>
    <row r="124" spans="1:26" x14ac:dyDescent="0.25">
      <c r="A124" s="175"/>
      <c r="B124" s="175"/>
      <c r="C124" s="175"/>
      <c r="D124" s="175"/>
      <c r="E124" s="175"/>
      <c r="F124" s="175"/>
      <c r="G124" s="175" t="s">
        <v>652</v>
      </c>
      <c r="H124" s="175" t="s">
        <v>769</v>
      </c>
      <c r="I124" s="175"/>
      <c r="J124" s="175" t="s">
        <v>42</v>
      </c>
      <c r="K124" s="175" t="s">
        <v>644</v>
      </c>
      <c r="L124" s="175">
        <v>1</v>
      </c>
      <c r="M124" s="175" t="s">
        <v>645</v>
      </c>
      <c r="N124" s="181">
        <v>0</v>
      </c>
      <c r="O124" s="181">
        <v>0</v>
      </c>
      <c r="P124" s="181">
        <v>5000</v>
      </c>
      <c r="Q124" s="181">
        <v>5000</v>
      </c>
      <c r="R124" s="175" t="s">
        <v>438</v>
      </c>
      <c r="S124" s="181">
        <v>113</v>
      </c>
      <c r="T124" s="181">
        <v>4887</v>
      </c>
      <c r="U124" s="175" t="s">
        <v>764</v>
      </c>
      <c r="V124" s="175" t="s">
        <v>647</v>
      </c>
      <c r="W124" s="175"/>
      <c r="X124" s="175"/>
      <c r="Y124" s="175"/>
      <c r="Z124" s="175"/>
    </row>
    <row r="125" spans="1:26" x14ac:dyDescent="0.25">
      <c r="A125" s="175"/>
      <c r="B125" s="175"/>
      <c r="C125" s="175"/>
      <c r="D125" s="175"/>
      <c r="E125" s="175"/>
      <c r="F125" s="175"/>
      <c r="G125" s="175" t="s">
        <v>652</v>
      </c>
      <c r="H125" s="175" t="s">
        <v>770</v>
      </c>
      <c r="I125" s="175"/>
      <c r="J125" s="175" t="s">
        <v>42</v>
      </c>
      <c r="K125" s="175" t="s">
        <v>644</v>
      </c>
      <c r="L125" s="175">
        <v>1</v>
      </c>
      <c r="M125" s="175" t="s">
        <v>645</v>
      </c>
      <c r="N125" s="181">
        <v>0</v>
      </c>
      <c r="O125" s="181">
        <v>0</v>
      </c>
      <c r="P125" s="181">
        <v>500</v>
      </c>
      <c r="Q125" s="181">
        <v>500</v>
      </c>
      <c r="R125" s="175" t="s">
        <v>438</v>
      </c>
      <c r="S125" s="181">
        <v>44</v>
      </c>
      <c r="T125" s="181">
        <v>456</v>
      </c>
      <c r="U125" s="175" t="s">
        <v>764</v>
      </c>
      <c r="V125" s="175" t="s">
        <v>647</v>
      </c>
      <c r="W125" s="175"/>
      <c r="X125" s="175"/>
      <c r="Y125" s="175"/>
      <c r="Z125" s="175"/>
    </row>
    <row r="126" spans="1:26" x14ac:dyDescent="0.25">
      <c r="A126" s="175"/>
      <c r="B126" s="175"/>
      <c r="C126" s="175"/>
      <c r="D126" s="175"/>
      <c r="E126" s="175"/>
      <c r="F126" s="175"/>
      <c r="G126" s="175" t="s">
        <v>652</v>
      </c>
      <c r="H126" s="175" t="s">
        <v>771</v>
      </c>
      <c r="I126" s="175"/>
      <c r="J126" s="175" t="s">
        <v>42</v>
      </c>
      <c r="K126" s="175" t="s">
        <v>644</v>
      </c>
      <c r="L126" s="175">
        <v>1</v>
      </c>
      <c r="M126" s="175" t="s">
        <v>645</v>
      </c>
      <c r="N126" s="181">
        <v>0</v>
      </c>
      <c r="O126" s="181">
        <v>0</v>
      </c>
      <c r="P126" s="181">
        <v>72000</v>
      </c>
      <c r="Q126" s="181">
        <v>72000</v>
      </c>
      <c r="R126" s="175" t="s">
        <v>439</v>
      </c>
      <c r="S126" s="181">
        <v>1150</v>
      </c>
      <c r="T126" s="181">
        <v>70850</v>
      </c>
      <c r="U126" s="175" t="s">
        <v>764</v>
      </c>
      <c r="V126" s="175" t="s">
        <v>647</v>
      </c>
      <c r="W126" s="175"/>
      <c r="X126" s="175"/>
      <c r="Y126" s="175"/>
      <c r="Z126" s="175"/>
    </row>
    <row r="127" spans="1:26" x14ac:dyDescent="0.25">
      <c r="A127" s="175"/>
      <c r="B127" s="175"/>
      <c r="C127" s="175"/>
      <c r="D127" s="175"/>
      <c r="E127" s="175"/>
      <c r="F127" s="175"/>
      <c r="G127" s="175" t="s">
        <v>642</v>
      </c>
      <c r="H127" s="175" t="s">
        <v>772</v>
      </c>
      <c r="I127" s="175"/>
      <c r="J127" s="175" t="s">
        <v>42</v>
      </c>
      <c r="K127" s="175" t="s">
        <v>644</v>
      </c>
      <c r="L127" s="175">
        <v>1</v>
      </c>
      <c r="M127" s="175" t="s">
        <v>645</v>
      </c>
      <c r="N127" s="181">
        <v>0</v>
      </c>
      <c r="O127" s="181">
        <v>0</v>
      </c>
      <c r="P127" s="181">
        <v>6000</v>
      </c>
      <c r="Q127" s="181">
        <v>6000</v>
      </c>
      <c r="R127" s="175" t="s">
        <v>438</v>
      </c>
      <c r="S127" s="181">
        <v>129</v>
      </c>
      <c r="T127" s="181">
        <v>5871</v>
      </c>
      <c r="U127" s="175" t="s">
        <v>764</v>
      </c>
      <c r="V127" s="175" t="s">
        <v>647</v>
      </c>
      <c r="W127" s="175"/>
      <c r="X127" s="175"/>
      <c r="Y127" s="175"/>
      <c r="Z127" s="175"/>
    </row>
    <row r="128" spans="1:26" x14ac:dyDescent="0.25">
      <c r="A128" s="175"/>
      <c r="B128" s="175"/>
      <c r="C128" s="175"/>
      <c r="D128" s="175"/>
      <c r="E128" s="175"/>
      <c r="F128" s="175"/>
      <c r="G128" s="175" t="s">
        <v>642</v>
      </c>
      <c r="H128" s="175" t="s">
        <v>773</v>
      </c>
      <c r="I128" s="175"/>
      <c r="J128" s="175" t="s">
        <v>42</v>
      </c>
      <c r="K128" s="175" t="s">
        <v>644</v>
      </c>
      <c r="L128" s="175">
        <v>1</v>
      </c>
      <c r="M128" s="175" t="s">
        <v>645</v>
      </c>
      <c r="N128" s="181">
        <v>0</v>
      </c>
      <c r="O128" s="181">
        <v>0</v>
      </c>
      <c r="P128" s="181">
        <v>2500</v>
      </c>
      <c r="Q128" s="181">
        <v>2500</v>
      </c>
      <c r="R128" s="175" t="s">
        <v>438</v>
      </c>
      <c r="S128" s="181">
        <v>75</v>
      </c>
      <c r="T128" s="181">
        <v>2425</v>
      </c>
      <c r="U128" s="175" t="s">
        <v>764</v>
      </c>
      <c r="V128" s="175" t="s">
        <v>647</v>
      </c>
      <c r="W128" s="175"/>
      <c r="X128" s="175"/>
      <c r="Y128" s="175"/>
      <c r="Z128" s="175"/>
    </row>
    <row r="129" spans="1:26" x14ac:dyDescent="0.25">
      <c r="A129" s="175"/>
      <c r="B129" s="175"/>
      <c r="C129" s="175"/>
      <c r="D129" s="175"/>
      <c r="E129" s="175"/>
      <c r="F129" s="175"/>
      <c r="G129" s="175" t="s">
        <v>642</v>
      </c>
      <c r="H129" s="175" t="s">
        <v>774</v>
      </c>
      <c r="I129" s="175"/>
      <c r="J129" s="175" t="s">
        <v>42</v>
      </c>
      <c r="K129" s="175" t="s">
        <v>644</v>
      </c>
      <c r="L129" s="175">
        <v>1</v>
      </c>
      <c r="M129" s="175" t="s">
        <v>645</v>
      </c>
      <c r="N129" s="181">
        <v>0</v>
      </c>
      <c r="O129" s="181">
        <v>0</v>
      </c>
      <c r="P129" s="181">
        <v>800</v>
      </c>
      <c r="Q129" s="181">
        <v>800</v>
      </c>
      <c r="R129" s="175" t="s">
        <v>438</v>
      </c>
      <c r="S129" s="181">
        <v>48</v>
      </c>
      <c r="T129" s="181">
        <v>752</v>
      </c>
      <c r="U129" s="175" t="s">
        <v>764</v>
      </c>
      <c r="V129" s="175" t="s">
        <v>647</v>
      </c>
      <c r="W129" s="175"/>
      <c r="X129" s="175"/>
      <c r="Y129" s="175"/>
      <c r="Z129" s="175"/>
    </row>
    <row r="130" spans="1:26" x14ac:dyDescent="0.25">
      <c r="A130" s="175"/>
      <c r="B130" s="175"/>
      <c r="C130" s="175"/>
      <c r="D130" s="175"/>
      <c r="E130" s="175"/>
      <c r="F130" s="175"/>
      <c r="G130" s="175" t="s">
        <v>642</v>
      </c>
      <c r="H130" s="175" t="s">
        <v>775</v>
      </c>
      <c r="I130" s="175"/>
      <c r="J130" s="175" t="s">
        <v>42</v>
      </c>
      <c r="K130" s="175" t="s">
        <v>644</v>
      </c>
      <c r="L130" s="175">
        <v>1</v>
      </c>
      <c r="M130" s="175" t="s">
        <v>645</v>
      </c>
      <c r="N130" s="181">
        <v>0</v>
      </c>
      <c r="O130" s="181">
        <v>0</v>
      </c>
      <c r="P130" s="181">
        <v>1700</v>
      </c>
      <c r="Q130" s="181">
        <v>1700</v>
      </c>
      <c r="R130" s="175" t="s">
        <v>438</v>
      </c>
      <c r="S130" s="181">
        <v>62</v>
      </c>
      <c r="T130" s="181">
        <v>1638</v>
      </c>
      <c r="U130" s="175" t="s">
        <v>764</v>
      </c>
      <c r="V130" s="175" t="s">
        <v>647</v>
      </c>
      <c r="W130" s="175"/>
      <c r="X130" s="175"/>
      <c r="Y130" s="175"/>
      <c r="Z130" s="175"/>
    </row>
    <row r="131" spans="1:26" x14ac:dyDescent="0.25">
      <c r="A131" s="175"/>
      <c r="B131" s="175"/>
      <c r="C131" s="175"/>
      <c r="D131" s="175"/>
      <c r="E131" s="175"/>
      <c r="F131" s="175"/>
      <c r="G131" s="175" t="s">
        <v>652</v>
      </c>
      <c r="H131" s="175" t="s">
        <v>776</v>
      </c>
      <c r="I131" s="175"/>
      <c r="J131" s="175" t="s">
        <v>547</v>
      </c>
      <c r="K131" s="175" t="s">
        <v>687</v>
      </c>
      <c r="L131" s="175">
        <v>1</v>
      </c>
      <c r="M131" s="175" t="s">
        <v>645</v>
      </c>
      <c r="N131" s="181">
        <v>0</v>
      </c>
      <c r="O131" s="181">
        <v>0</v>
      </c>
      <c r="P131" s="181">
        <v>1700</v>
      </c>
      <c r="Q131" s="181">
        <v>1700</v>
      </c>
      <c r="R131" s="175" t="s">
        <v>438</v>
      </c>
      <c r="S131" s="181">
        <v>99</v>
      </c>
      <c r="T131" s="181">
        <v>1601</v>
      </c>
      <c r="U131" s="175" t="s">
        <v>777</v>
      </c>
      <c r="V131" s="175" t="s">
        <v>647</v>
      </c>
      <c r="W131" s="175"/>
      <c r="X131" s="175"/>
      <c r="Y131" s="175"/>
      <c r="Z131" s="175"/>
    </row>
    <row r="132" spans="1:26" x14ac:dyDescent="0.25">
      <c r="A132" s="175"/>
      <c r="B132" s="175"/>
      <c r="C132" s="175"/>
      <c r="D132" s="175"/>
      <c r="E132" s="175"/>
      <c r="F132" s="175"/>
      <c r="G132" s="175" t="s">
        <v>652</v>
      </c>
      <c r="H132" s="175" t="s">
        <v>778</v>
      </c>
      <c r="I132" s="175"/>
      <c r="J132" s="175" t="s">
        <v>42</v>
      </c>
      <c r="K132" s="175" t="s">
        <v>644</v>
      </c>
      <c r="L132" s="175">
        <v>1</v>
      </c>
      <c r="M132" s="175" t="s">
        <v>645</v>
      </c>
      <c r="N132" s="181">
        <v>0</v>
      </c>
      <c r="O132" s="181">
        <v>0</v>
      </c>
      <c r="P132" s="181">
        <v>4200</v>
      </c>
      <c r="Q132" s="181">
        <v>4200</v>
      </c>
      <c r="R132" s="175" t="s">
        <v>438</v>
      </c>
      <c r="S132" s="181">
        <v>101</v>
      </c>
      <c r="T132" s="181">
        <v>4099</v>
      </c>
      <c r="U132" s="175" t="s">
        <v>777</v>
      </c>
      <c r="V132" s="175" t="s">
        <v>647</v>
      </c>
      <c r="W132" s="175"/>
      <c r="X132" s="175"/>
      <c r="Y132" s="175"/>
      <c r="Z132" s="175"/>
    </row>
    <row r="133" spans="1:26" x14ac:dyDescent="0.25">
      <c r="A133" s="175"/>
      <c r="B133" s="175"/>
      <c r="C133" s="175"/>
      <c r="D133" s="175"/>
      <c r="E133" s="175"/>
      <c r="F133" s="175"/>
      <c r="G133" s="175" t="s">
        <v>642</v>
      </c>
      <c r="H133" s="175" t="s">
        <v>779</v>
      </c>
      <c r="I133" s="175"/>
      <c r="J133" s="175" t="s">
        <v>42</v>
      </c>
      <c r="K133" s="175" t="s">
        <v>644</v>
      </c>
      <c r="L133" s="175">
        <v>1</v>
      </c>
      <c r="M133" s="175" t="s">
        <v>645</v>
      </c>
      <c r="N133" s="181">
        <v>0</v>
      </c>
      <c r="O133" s="181">
        <v>0</v>
      </c>
      <c r="P133" s="181">
        <v>1700</v>
      </c>
      <c r="Q133" s="181">
        <v>1700</v>
      </c>
      <c r="R133" s="175" t="s">
        <v>438</v>
      </c>
      <c r="S133" s="181">
        <v>62</v>
      </c>
      <c r="T133" s="181">
        <v>1638</v>
      </c>
      <c r="U133" s="175" t="s">
        <v>777</v>
      </c>
      <c r="V133" s="175" t="s">
        <v>647</v>
      </c>
      <c r="W133" s="175"/>
      <c r="X133" s="175"/>
      <c r="Y133" s="175"/>
      <c r="Z133" s="175"/>
    </row>
    <row r="134" spans="1:26" x14ac:dyDescent="0.25">
      <c r="A134" s="175"/>
      <c r="B134" s="175"/>
      <c r="C134" s="175"/>
      <c r="D134" s="175"/>
      <c r="E134" s="175"/>
      <c r="F134" s="175"/>
      <c r="G134" s="175" t="s">
        <v>642</v>
      </c>
      <c r="H134" s="175" t="s">
        <v>780</v>
      </c>
      <c r="I134" s="175"/>
      <c r="J134" s="175" t="s">
        <v>42</v>
      </c>
      <c r="K134" s="175" t="s">
        <v>644</v>
      </c>
      <c r="L134" s="175">
        <v>1</v>
      </c>
      <c r="M134" s="175" t="s">
        <v>645</v>
      </c>
      <c r="N134" s="181">
        <v>0</v>
      </c>
      <c r="O134" s="181">
        <v>0</v>
      </c>
      <c r="P134" s="181">
        <v>5000</v>
      </c>
      <c r="Q134" s="181">
        <v>5000</v>
      </c>
      <c r="R134" s="175" t="s">
        <v>438</v>
      </c>
      <c r="S134" s="181">
        <v>113</v>
      </c>
      <c r="T134" s="181">
        <v>4887</v>
      </c>
      <c r="U134" s="175" t="s">
        <v>777</v>
      </c>
      <c r="V134" s="175" t="s">
        <v>647</v>
      </c>
      <c r="W134" s="175"/>
      <c r="X134" s="175"/>
      <c r="Y134" s="175"/>
      <c r="Z134" s="175"/>
    </row>
    <row r="135" spans="1:26" x14ac:dyDescent="0.25">
      <c r="A135" s="175"/>
      <c r="B135" s="175"/>
      <c r="C135" s="175"/>
      <c r="D135" s="175"/>
      <c r="E135" s="175"/>
      <c r="F135" s="175"/>
      <c r="G135" s="175" t="s">
        <v>642</v>
      </c>
      <c r="H135" s="175" t="s">
        <v>781</v>
      </c>
      <c r="I135" s="175"/>
      <c r="J135" s="175" t="s">
        <v>42</v>
      </c>
      <c r="K135" s="175" t="s">
        <v>644</v>
      </c>
      <c r="L135" s="175">
        <v>1</v>
      </c>
      <c r="M135" s="175" t="s">
        <v>645</v>
      </c>
      <c r="N135" s="181">
        <v>0</v>
      </c>
      <c r="O135" s="181">
        <v>0</v>
      </c>
      <c r="P135" s="181">
        <v>800</v>
      </c>
      <c r="Q135" s="181">
        <v>800</v>
      </c>
      <c r="R135" s="175" t="s">
        <v>438</v>
      </c>
      <c r="S135" s="181">
        <v>48</v>
      </c>
      <c r="T135" s="181">
        <v>752</v>
      </c>
      <c r="U135" s="175" t="s">
        <v>777</v>
      </c>
      <c r="V135" s="175" t="s">
        <v>647</v>
      </c>
      <c r="W135" s="175"/>
      <c r="X135" s="175"/>
      <c r="Y135" s="175"/>
      <c r="Z135" s="175"/>
    </row>
    <row r="136" spans="1:26" x14ac:dyDescent="0.25">
      <c r="A136" s="175"/>
      <c r="B136" s="175"/>
      <c r="C136" s="175"/>
      <c r="D136" s="175"/>
      <c r="E136" s="175"/>
      <c r="F136" s="175"/>
      <c r="G136" s="175" t="s">
        <v>652</v>
      </c>
      <c r="H136" s="175" t="s">
        <v>782</v>
      </c>
      <c r="I136" s="175"/>
      <c r="J136" s="175" t="s">
        <v>42</v>
      </c>
      <c r="K136" s="175" t="s">
        <v>644</v>
      </c>
      <c r="L136" s="175">
        <v>1</v>
      </c>
      <c r="M136" s="175" t="s">
        <v>645</v>
      </c>
      <c r="N136" s="181">
        <v>0</v>
      </c>
      <c r="O136" s="181">
        <v>0</v>
      </c>
      <c r="P136" s="181">
        <v>500</v>
      </c>
      <c r="Q136" s="181">
        <v>500</v>
      </c>
      <c r="R136" s="175" t="s">
        <v>438</v>
      </c>
      <c r="S136" s="181">
        <v>44</v>
      </c>
      <c r="T136" s="181">
        <v>456</v>
      </c>
      <c r="U136" s="175" t="s">
        <v>777</v>
      </c>
      <c r="V136" s="175" t="s">
        <v>647</v>
      </c>
      <c r="W136" s="175"/>
      <c r="X136" s="175"/>
      <c r="Y136" s="175"/>
      <c r="Z136" s="175"/>
    </row>
    <row r="137" spans="1:26" x14ac:dyDescent="0.25">
      <c r="A137" s="175"/>
      <c r="B137" s="175"/>
      <c r="C137" s="175"/>
      <c r="D137" s="175"/>
      <c r="E137" s="175"/>
      <c r="F137" s="175"/>
      <c r="G137" s="175" t="s">
        <v>642</v>
      </c>
      <c r="H137" s="175" t="s">
        <v>783</v>
      </c>
      <c r="I137" s="175"/>
      <c r="J137" s="175" t="s">
        <v>42</v>
      </c>
      <c r="K137" s="175" t="s">
        <v>644</v>
      </c>
      <c r="L137" s="175">
        <v>1</v>
      </c>
      <c r="M137" s="175" t="s">
        <v>645</v>
      </c>
      <c r="N137" s="181">
        <v>0</v>
      </c>
      <c r="O137" s="181">
        <v>0</v>
      </c>
      <c r="P137" s="181">
        <v>7500</v>
      </c>
      <c r="Q137" s="181">
        <v>7500</v>
      </c>
      <c r="R137" s="175" t="s">
        <v>438</v>
      </c>
      <c r="S137" s="181">
        <v>152</v>
      </c>
      <c r="T137" s="181">
        <v>7348</v>
      </c>
      <c r="U137" s="175" t="s">
        <v>777</v>
      </c>
      <c r="V137" s="175" t="s">
        <v>647</v>
      </c>
      <c r="W137" s="175"/>
      <c r="X137" s="175"/>
      <c r="Y137" s="175"/>
      <c r="Z137" s="175"/>
    </row>
    <row r="138" spans="1:26" x14ac:dyDescent="0.25">
      <c r="A138" s="175"/>
      <c r="B138" s="175"/>
      <c r="C138" s="175"/>
      <c r="D138" s="175"/>
      <c r="E138" s="175"/>
      <c r="F138" s="175"/>
      <c r="G138" s="175" t="s">
        <v>642</v>
      </c>
      <c r="H138" s="175" t="s">
        <v>784</v>
      </c>
      <c r="I138" s="175"/>
      <c r="J138" s="175" t="s">
        <v>42</v>
      </c>
      <c r="K138" s="175" t="s">
        <v>644</v>
      </c>
      <c r="L138" s="175">
        <v>1</v>
      </c>
      <c r="M138" s="175" t="s">
        <v>645</v>
      </c>
      <c r="N138" s="181">
        <v>0</v>
      </c>
      <c r="O138" s="181">
        <v>0</v>
      </c>
      <c r="P138" s="181">
        <v>5000</v>
      </c>
      <c r="Q138" s="181">
        <v>5000</v>
      </c>
      <c r="R138" s="175" t="s">
        <v>438</v>
      </c>
      <c r="S138" s="181">
        <v>113</v>
      </c>
      <c r="T138" s="181">
        <v>4887</v>
      </c>
      <c r="U138" s="175" t="s">
        <v>785</v>
      </c>
      <c r="V138" s="175" t="s">
        <v>647</v>
      </c>
      <c r="W138" s="175"/>
      <c r="X138" s="175"/>
      <c r="Y138" s="175"/>
      <c r="Z138" s="175"/>
    </row>
    <row r="139" spans="1:26" x14ac:dyDescent="0.25">
      <c r="A139" s="175"/>
      <c r="B139" s="175"/>
      <c r="C139" s="175"/>
      <c r="D139" s="175"/>
      <c r="E139" s="175"/>
      <c r="F139" s="175"/>
      <c r="G139" s="175" t="s">
        <v>642</v>
      </c>
      <c r="H139" s="175" t="s">
        <v>786</v>
      </c>
      <c r="I139" s="175"/>
      <c r="J139" s="175" t="s">
        <v>42</v>
      </c>
      <c r="K139" s="175" t="s">
        <v>644</v>
      </c>
      <c r="L139" s="175">
        <v>1</v>
      </c>
      <c r="M139" s="175" t="s">
        <v>645</v>
      </c>
      <c r="N139" s="181">
        <v>0</v>
      </c>
      <c r="O139" s="181">
        <v>0</v>
      </c>
      <c r="P139" s="181">
        <v>4200</v>
      </c>
      <c r="Q139" s="181">
        <v>4200</v>
      </c>
      <c r="R139" s="175" t="s">
        <v>438</v>
      </c>
      <c r="S139" s="181">
        <v>101</v>
      </c>
      <c r="T139" s="181">
        <v>4099</v>
      </c>
      <c r="U139" s="175" t="s">
        <v>785</v>
      </c>
      <c r="V139" s="175" t="s">
        <v>647</v>
      </c>
      <c r="W139" s="175"/>
      <c r="X139" s="175"/>
      <c r="Y139" s="175"/>
      <c r="Z139" s="175"/>
    </row>
    <row r="140" spans="1:26" x14ac:dyDescent="0.25">
      <c r="A140" s="175"/>
      <c r="B140" s="175"/>
      <c r="C140" s="175"/>
      <c r="D140" s="175"/>
      <c r="E140" s="175"/>
      <c r="F140" s="175"/>
      <c r="G140" s="175" t="s">
        <v>642</v>
      </c>
      <c r="H140" s="175" t="s">
        <v>787</v>
      </c>
      <c r="I140" s="175"/>
      <c r="J140" s="175" t="s">
        <v>42</v>
      </c>
      <c r="K140" s="175" t="s">
        <v>644</v>
      </c>
      <c r="L140" s="175">
        <v>1</v>
      </c>
      <c r="M140" s="175" t="s">
        <v>645</v>
      </c>
      <c r="N140" s="181">
        <v>0</v>
      </c>
      <c r="O140" s="181">
        <v>0</v>
      </c>
      <c r="P140" s="181">
        <v>3400</v>
      </c>
      <c r="Q140" s="181">
        <v>3400</v>
      </c>
      <c r="R140" s="175" t="s">
        <v>438</v>
      </c>
      <c r="S140" s="181">
        <v>88</v>
      </c>
      <c r="T140" s="181">
        <v>3312</v>
      </c>
      <c r="U140" s="175" t="s">
        <v>785</v>
      </c>
      <c r="V140" s="175" t="s">
        <v>647</v>
      </c>
      <c r="W140" s="175"/>
      <c r="X140" s="175"/>
      <c r="Y140" s="175"/>
      <c r="Z140" s="175"/>
    </row>
    <row r="141" spans="1:26" x14ac:dyDescent="0.25">
      <c r="A141" s="175"/>
      <c r="B141" s="175"/>
      <c r="C141" s="175"/>
      <c r="D141" s="175"/>
      <c r="E141" s="175"/>
      <c r="F141" s="175"/>
      <c r="G141" s="175" t="s">
        <v>642</v>
      </c>
      <c r="H141" s="175" t="s">
        <v>788</v>
      </c>
      <c r="I141" s="175"/>
      <c r="J141" s="175" t="s">
        <v>42</v>
      </c>
      <c r="K141" s="175" t="s">
        <v>644</v>
      </c>
      <c r="L141" s="175">
        <v>1</v>
      </c>
      <c r="M141" s="175" t="s">
        <v>645</v>
      </c>
      <c r="N141" s="181">
        <v>0</v>
      </c>
      <c r="O141" s="181">
        <v>0</v>
      </c>
      <c r="P141" s="181">
        <v>800</v>
      </c>
      <c r="Q141" s="181">
        <v>800</v>
      </c>
      <c r="R141" s="175" t="s">
        <v>438</v>
      </c>
      <c r="S141" s="181">
        <v>48</v>
      </c>
      <c r="T141" s="181">
        <v>752</v>
      </c>
      <c r="U141" s="175" t="s">
        <v>785</v>
      </c>
      <c r="V141" s="175" t="s">
        <v>647</v>
      </c>
      <c r="W141" s="175"/>
      <c r="X141" s="175"/>
      <c r="Y141" s="175"/>
      <c r="Z141" s="175"/>
    </row>
    <row r="142" spans="1:26" x14ac:dyDescent="0.25">
      <c r="A142" s="175"/>
      <c r="B142" s="175"/>
      <c r="C142" s="175"/>
      <c r="D142" s="175"/>
      <c r="E142" s="175"/>
      <c r="F142" s="175"/>
      <c r="G142" s="175" t="s">
        <v>642</v>
      </c>
      <c r="H142" s="175" t="s">
        <v>789</v>
      </c>
      <c r="I142" s="175"/>
      <c r="J142" s="175" t="s">
        <v>42</v>
      </c>
      <c r="K142" s="175" t="s">
        <v>644</v>
      </c>
      <c r="L142" s="175">
        <v>1</v>
      </c>
      <c r="M142" s="175" t="s">
        <v>645</v>
      </c>
      <c r="N142" s="181">
        <v>0</v>
      </c>
      <c r="O142" s="181">
        <v>0</v>
      </c>
      <c r="P142" s="181">
        <v>3400</v>
      </c>
      <c r="Q142" s="181">
        <v>3400</v>
      </c>
      <c r="R142" s="175" t="s">
        <v>438</v>
      </c>
      <c r="S142" s="181">
        <v>88</v>
      </c>
      <c r="T142" s="181">
        <v>3312</v>
      </c>
      <c r="U142" s="175" t="s">
        <v>785</v>
      </c>
      <c r="V142" s="175" t="s">
        <v>647</v>
      </c>
      <c r="W142" s="175"/>
      <c r="X142" s="175"/>
      <c r="Y142" s="175"/>
      <c r="Z142" s="175"/>
    </row>
    <row r="143" spans="1:26" x14ac:dyDescent="0.25">
      <c r="A143" s="175"/>
      <c r="B143" s="175"/>
      <c r="C143" s="175"/>
      <c r="D143" s="175"/>
      <c r="E143" s="175"/>
      <c r="F143" s="175"/>
      <c r="G143" s="175" t="s">
        <v>642</v>
      </c>
      <c r="H143" s="175" t="s">
        <v>790</v>
      </c>
      <c r="I143" s="175"/>
      <c r="J143" s="175" t="s">
        <v>547</v>
      </c>
      <c r="K143" s="175" t="s">
        <v>687</v>
      </c>
      <c r="L143" s="175">
        <v>1</v>
      </c>
      <c r="M143" s="175" t="s">
        <v>645</v>
      </c>
      <c r="N143" s="181">
        <v>0</v>
      </c>
      <c r="O143" s="181">
        <v>0</v>
      </c>
      <c r="P143" s="181">
        <v>3000</v>
      </c>
      <c r="Q143" s="181">
        <v>3000</v>
      </c>
      <c r="R143" s="175" t="s">
        <v>438</v>
      </c>
      <c r="S143" s="181">
        <v>138</v>
      </c>
      <c r="T143" s="181">
        <v>2862</v>
      </c>
      <c r="U143" s="175" t="s">
        <v>785</v>
      </c>
      <c r="V143" s="175" t="s">
        <v>647</v>
      </c>
      <c r="W143" s="175"/>
      <c r="X143" s="175"/>
      <c r="Y143" s="175"/>
      <c r="Z143" s="175"/>
    </row>
    <row r="144" spans="1:26" x14ac:dyDescent="0.25">
      <c r="A144" s="175"/>
      <c r="B144" s="175"/>
      <c r="C144" s="175"/>
      <c r="D144" s="175"/>
      <c r="E144" s="175"/>
      <c r="F144" s="175"/>
      <c r="G144" s="175" t="s">
        <v>642</v>
      </c>
      <c r="H144" s="175" t="s">
        <v>791</v>
      </c>
      <c r="I144" s="175"/>
      <c r="J144" s="175" t="s">
        <v>42</v>
      </c>
      <c r="K144" s="175" t="s">
        <v>644</v>
      </c>
      <c r="L144" s="175">
        <v>1</v>
      </c>
      <c r="M144" s="175" t="s">
        <v>645</v>
      </c>
      <c r="N144" s="181">
        <v>0</v>
      </c>
      <c r="O144" s="181">
        <v>0</v>
      </c>
      <c r="P144" s="181">
        <v>2500</v>
      </c>
      <c r="Q144" s="181">
        <v>2500</v>
      </c>
      <c r="R144" s="175" t="s">
        <v>438</v>
      </c>
      <c r="S144" s="181">
        <v>75</v>
      </c>
      <c r="T144" s="181">
        <v>2425</v>
      </c>
      <c r="U144" s="175" t="s">
        <v>785</v>
      </c>
      <c r="V144" s="175" t="s">
        <v>647</v>
      </c>
      <c r="W144" s="175"/>
      <c r="X144" s="175"/>
      <c r="Y144" s="175"/>
      <c r="Z144" s="175"/>
    </row>
    <row r="145" spans="1:26" x14ac:dyDescent="0.25">
      <c r="A145" s="175"/>
      <c r="B145" s="175"/>
      <c r="C145" s="175"/>
      <c r="D145" s="175"/>
      <c r="E145" s="175"/>
      <c r="F145" s="175"/>
      <c r="G145" s="175" t="s">
        <v>642</v>
      </c>
      <c r="H145" s="175" t="s">
        <v>792</v>
      </c>
      <c r="I145" s="175"/>
      <c r="J145" s="175" t="s">
        <v>547</v>
      </c>
      <c r="K145" s="175" t="s">
        <v>687</v>
      </c>
      <c r="L145" s="175">
        <v>1</v>
      </c>
      <c r="M145" s="175" t="s">
        <v>645</v>
      </c>
      <c r="N145" s="181">
        <v>0</v>
      </c>
      <c r="O145" s="181">
        <v>0</v>
      </c>
      <c r="P145" s="181">
        <v>1700</v>
      </c>
      <c r="Q145" s="181">
        <v>1700</v>
      </c>
      <c r="R145" s="175" t="s">
        <v>438</v>
      </c>
      <c r="S145" s="181">
        <v>99</v>
      </c>
      <c r="T145" s="181">
        <v>1601</v>
      </c>
      <c r="U145" s="175" t="s">
        <v>785</v>
      </c>
      <c r="V145" s="175" t="s">
        <v>647</v>
      </c>
      <c r="W145" s="175"/>
      <c r="X145" s="175"/>
      <c r="Y145" s="175"/>
      <c r="Z145" s="175"/>
    </row>
    <row r="146" spans="1:26" x14ac:dyDescent="0.25">
      <c r="A146" s="175"/>
      <c r="B146" s="175"/>
      <c r="C146" s="175"/>
      <c r="D146" s="175"/>
      <c r="E146" s="175"/>
      <c r="F146" s="175"/>
      <c r="G146" s="175" t="s">
        <v>642</v>
      </c>
      <c r="H146" s="175" t="s">
        <v>793</v>
      </c>
      <c r="I146" s="175"/>
      <c r="J146" s="175" t="s">
        <v>42</v>
      </c>
      <c r="K146" s="175" t="s">
        <v>644</v>
      </c>
      <c r="L146" s="175">
        <v>1</v>
      </c>
      <c r="M146" s="175" t="s">
        <v>645</v>
      </c>
      <c r="N146" s="181">
        <v>0</v>
      </c>
      <c r="O146" s="181">
        <v>0</v>
      </c>
      <c r="P146" s="181">
        <v>2500</v>
      </c>
      <c r="Q146" s="181">
        <v>2500</v>
      </c>
      <c r="R146" s="175" t="s">
        <v>438</v>
      </c>
      <c r="S146" s="181">
        <v>75</v>
      </c>
      <c r="T146" s="181">
        <v>2425</v>
      </c>
      <c r="U146" s="175" t="s">
        <v>785</v>
      </c>
      <c r="V146" s="175" t="s">
        <v>647</v>
      </c>
      <c r="W146" s="175"/>
      <c r="X146" s="175"/>
      <c r="Y146" s="175"/>
      <c r="Z146" s="175"/>
    </row>
    <row r="147" spans="1:26" x14ac:dyDescent="0.25">
      <c r="A147" s="175"/>
      <c r="B147" s="175"/>
      <c r="C147" s="175"/>
      <c r="D147" s="175"/>
      <c r="E147" s="175"/>
      <c r="F147" s="175"/>
      <c r="G147" s="175" t="s">
        <v>652</v>
      </c>
      <c r="H147" s="175" t="s">
        <v>794</v>
      </c>
      <c r="I147" s="175"/>
      <c r="J147" s="175" t="s">
        <v>547</v>
      </c>
      <c r="K147" s="175" t="s">
        <v>687</v>
      </c>
      <c r="L147" s="175">
        <v>1</v>
      </c>
      <c r="M147" s="175" t="s">
        <v>645</v>
      </c>
      <c r="N147" s="181">
        <v>0</v>
      </c>
      <c r="O147" s="181">
        <v>0</v>
      </c>
      <c r="P147" s="181">
        <v>5000</v>
      </c>
      <c r="Q147" s="181">
        <v>5000</v>
      </c>
      <c r="R147" s="175" t="s">
        <v>438</v>
      </c>
      <c r="S147" s="181">
        <v>198</v>
      </c>
      <c r="T147" s="181">
        <v>4802</v>
      </c>
      <c r="U147" s="175" t="s">
        <v>795</v>
      </c>
      <c r="V147" s="175" t="s">
        <v>647</v>
      </c>
      <c r="W147" s="175"/>
      <c r="X147" s="175"/>
      <c r="Y147" s="175"/>
      <c r="Z147" s="175"/>
    </row>
    <row r="148" spans="1:26" x14ac:dyDescent="0.25">
      <c r="A148" s="175"/>
      <c r="B148" s="175"/>
      <c r="C148" s="175"/>
      <c r="D148" s="175"/>
      <c r="E148" s="175"/>
      <c r="F148" s="175"/>
      <c r="G148" s="175" t="s">
        <v>652</v>
      </c>
      <c r="H148" s="175" t="s">
        <v>796</v>
      </c>
      <c r="I148" s="175"/>
      <c r="J148" s="175" t="s">
        <v>42</v>
      </c>
      <c r="K148" s="175" t="s">
        <v>644</v>
      </c>
      <c r="L148" s="175">
        <v>1</v>
      </c>
      <c r="M148" s="175" t="s">
        <v>645</v>
      </c>
      <c r="N148" s="181">
        <v>0</v>
      </c>
      <c r="O148" s="181">
        <v>0</v>
      </c>
      <c r="P148" s="181">
        <v>500</v>
      </c>
      <c r="Q148" s="181">
        <v>500</v>
      </c>
      <c r="R148" s="175" t="s">
        <v>438</v>
      </c>
      <c r="S148" s="181">
        <v>44</v>
      </c>
      <c r="T148" s="181">
        <v>456</v>
      </c>
      <c r="U148" s="175" t="s">
        <v>795</v>
      </c>
      <c r="V148" s="175" t="s">
        <v>647</v>
      </c>
      <c r="W148" s="175"/>
      <c r="X148" s="175"/>
      <c r="Y148" s="175"/>
      <c r="Z148" s="175"/>
    </row>
    <row r="149" spans="1:26" x14ac:dyDescent="0.25">
      <c r="A149" s="175"/>
      <c r="B149" s="175"/>
      <c r="C149" s="175"/>
      <c r="D149" s="175"/>
      <c r="E149" s="175"/>
      <c r="F149" s="175"/>
      <c r="G149" s="175" t="s">
        <v>642</v>
      </c>
      <c r="H149" s="175" t="s">
        <v>797</v>
      </c>
      <c r="I149" s="175"/>
      <c r="J149" s="175" t="s">
        <v>42</v>
      </c>
      <c r="K149" s="175" t="s">
        <v>644</v>
      </c>
      <c r="L149" s="175">
        <v>1</v>
      </c>
      <c r="M149" s="175" t="s">
        <v>645</v>
      </c>
      <c r="N149" s="181">
        <v>0</v>
      </c>
      <c r="O149" s="181">
        <v>0</v>
      </c>
      <c r="P149" s="181">
        <v>800</v>
      </c>
      <c r="Q149" s="181">
        <v>800</v>
      </c>
      <c r="R149" s="175" t="s">
        <v>438</v>
      </c>
      <c r="S149" s="181">
        <v>48</v>
      </c>
      <c r="T149" s="181">
        <v>752</v>
      </c>
      <c r="U149" s="175" t="s">
        <v>795</v>
      </c>
      <c r="V149" s="175" t="s">
        <v>647</v>
      </c>
      <c r="W149" s="175"/>
      <c r="X149" s="175"/>
      <c r="Y149" s="175"/>
      <c r="Z149" s="175"/>
    </row>
    <row r="150" spans="1:26" x14ac:dyDescent="0.25">
      <c r="A150" s="175"/>
      <c r="B150" s="175"/>
      <c r="C150" s="175"/>
      <c r="D150" s="175"/>
      <c r="E150" s="175"/>
      <c r="F150" s="175"/>
      <c r="G150" s="175" t="s">
        <v>642</v>
      </c>
      <c r="H150" s="175" t="s">
        <v>798</v>
      </c>
      <c r="I150" s="175"/>
      <c r="J150" s="175" t="s">
        <v>547</v>
      </c>
      <c r="K150" s="175" t="s">
        <v>687</v>
      </c>
      <c r="L150" s="175">
        <v>1</v>
      </c>
      <c r="M150" s="175" t="s">
        <v>645</v>
      </c>
      <c r="N150" s="181">
        <v>0</v>
      </c>
      <c r="O150" s="181">
        <v>0</v>
      </c>
      <c r="P150" s="181">
        <v>72000</v>
      </c>
      <c r="Q150" s="181">
        <v>72000</v>
      </c>
      <c r="R150" s="175" t="s">
        <v>439</v>
      </c>
      <c r="S150" s="181">
        <v>2206</v>
      </c>
      <c r="T150" s="181">
        <v>69794</v>
      </c>
      <c r="U150" s="175" t="s">
        <v>799</v>
      </c>
      <c r="V150" s="175" t="s">
        <v>647</v>
      </c>
      <c r="W150" s="175"/>
      <c r="X150" s="175"/>
      <c r="Y150" s="175"/>
      <c r="Z150" s="175"/>
    </row>
    <row r="151" spans="1:26" x14ac:dyDescent="0.25">
      <c r="A151" s="175"/>
      <c r="B151" s="175"/>
      <c r="C151" s="175"/>
      <c r="D151" s="175"/>
      <c r="E151" s="175"/>
      <c r="F151" s="175"/>
      <c r="G151" s="175" t="s">
        <v>642</v>
      </c>
      <c r="H151" s="175" t="s">
        <v>800</v>
      </c>
      <c r="I151" s="175"/>
      <c r="J151" s="175" t="s">
        <v>42</v>
      </c>
      <c r="K151" s="175" t="s">
        <v>644</v>
      </c>
      <c r="L151" s="175">
        <v>1</v>
      </c>
      <c r="M151" s="175" t="s">
        <v>645</v>
      </c>
      <c r="N151" s="181">
        <v>0</v>
      </c>
      <c r="O151" s="181">
        <v>0</v>
      </c>
      <c r="P151" s="181">
        <v>1700</v>
      </c>
      <c r="Q151" s="181">
        <v>1700</v>
      </c>
      <c r="R151" s="175" t="s">
        <v>438</v>
      </c>
      <c r="S151" s="181">
        <v>62</v>
      </c>
      <c r="T151" s="181">
        <v>1638</v>
      </c>
      <c r="U151" s="175" t="s">
        <v>799</v>
      </c>
      <c r="V151" s="175" t="s">
        <v>647</v>
      </c>
      <c r="W151" s="175"/>
      <c r="X151" s="175"/>
      <c r="Y151" s="175"/>
      <c r="Z151" s="175"/>
    </row>
    <row r="152" spans="1:26" x14ac:dyDescent="0.25">
      <c r="A152" s="175"/>
      <c r="B152" s="175"/>
      <c r="C152" s="175"/>
      <c r="D152" s="175"/>
      <c r="E152" s="175"/>
      <c r="F152" s="175"/>
      <c r="G152" s="175" t="s">
        <v>642</v>
      </c>
      <c r="H152" s="175" t="s">
        <v>801</v>
      </c>
      <c r="I152" s="175"/>
      <c r="J152" s="175" t="s">
        <v>42</v>
      </c>
      <c r="K152" s="175" t="s">
        <v>644</v>
      </c>
      <c r="L152" s="175">
        <v>1</v>
      </c>
      <c r="M152" s="175" t="s">
        <v>645</v>
      </c>
      <c r="N152" s="181">
        <v>0</v>
      </c>
      <c r="O152" s="181">
        <v>0</v>
      </c>
      <c r="P152" s="181">
        <v>800</v>
      </c>
      <c r="Q152" s="181">
        <v>800</v>
      </c>
      <c r="R152" s="175" t="s">
        <v>438</v>
      </c>
      <c r="S152" s="181">
        <v>48</v>
      </c>
      <c r="T152" s="181">
        <v>752</v>
      </c>
      <c r="U152" s="175" t="s">
        <v>799</v>
      </c>
      <c r="V152" s="175" t="s">
        <v>647</v>
      </c>
      <c r="W152" s="175"/>
      <c r="X152" s="175"/>
      <c r="Y152" s="175"/>
      <c r="Z152" s="175"/>
    </row>
    <row r="153" spans="1:26" x14ac:dyDescent="0.25">
      <c r="A153" s="175"/>
      <c r="B153" s="175"/>
      <c r="C153" s="175"/>
      <c r="D153" s="175"/>
      <c r="E153" s="175"/>
      <c r="F153" s="175"/>
      <c r="G153" s="175" t="s">
        <v>642</v>
      </c>
      <c r="H153" s="175" t="s">
        <v>802</v>
      </c>
      <c r="I153" s="175"/>
      <c r="J153" s="175" t="s">
        <v>42</v>
      </c>
      <c r="K153" s="175" t="s">
        <v>644</v>
      </c>
      <c r="L153" s="175">
        <v>1</v>
      </c>
      <c r="M153" s="175" t="s">
        <v>645</v>
      </c>
      <c r="N153" s="181">
        <v>0</v>
      </c>
      <c r="O153" s="181">
        <v>0</v>
      </c>
      <c r="P153" s="181">
        <v>5000</v>
      </c>
      <c r="Q153" s="181">
        <v>5000</v>
      </c>
      <c r="R153" s="175" t="s">
        <v>438</v>
      </c>
      <c r="S153" s="181">
        <v>113</v>
      </c>
      <c r="T153" s="181">
        <v>4887</v>
      </c>
      <c r="U153" s="175" t="s">
        <v>799</v>
      </c>
      <c r="V153" s="175" t="s">
        <v>647</v>
      </c>
      <c r="W153" s="175"/>
      <c r="X153" s="175"/>
      <c r="Y153" s="175"/>
      <c r="Z153" s="175"/>
    </row>
    <row r="154" spans="1:26" x14ac:dyDescent="0.25">
      <c r="A154" s="175"/>
      <c r="B154" s="175"/>
      <c r="C154" s="175"/>
      <c r="D154" s="175"/>
      <c r="E154" s="175"/>
      <c r="F154" s="175"/>
      <c r="G154" s="175" t="s">
        <v>642</v>
      </c>
      <c r="H154" s="175" t="s">
        <v>803</v>
      </c>
      <c r="I154" s="175"/>
      <c r="J154" s="175" t="s">
        <v>42</v>
      </c>
      <c r="K154" s="175" t="s">
        <v>644</v>
      </c>
      <c r="L154" s="175">
        <v>1</v>
      </c>
      <c r="M154" s="175" t="s">
        <v>645</v>
      </c>
      <c r="N154" s="181">
        <v>0</v>
      </c>
      <c r="O154" s="181">
        <v>0</v>
      </c>
      <c r="P154" s="181">
        <v>800</v>
      </c>
      <c r="Q154" s="181">
        <v>800</v>
      </c>
      <c r="R154" s="175" t="s">
        <v>438</v>
      </c>
      <c r="S154" s="181">
        <v>48</v>
      </c>
      <c r="T154" s="181">
        <v>752</v>
      </c>
      <c r="U154" s="175" t="s">
        <v>799</v>
      </c>
      <c r="V154" s="175" t="s">
        <v>647</v>
      </c>
      <c r="W154" s="175"/>
      <c r="X154" s="175"/>
      <c r="Y154" s="175"/>
      <c r="Z154" s="175"/>
    </row>
    <row r="155" spans="1:26" x14ac:dyDescent="0.25">
      <c r="A155" s="175"/>
      <c r="B155" s="175"/>
      <c r="C155" s="175"/>
      <c r="D155" s="175"/>
      <c r="E155" s="175"/>
      <c r="F155" s="175"/>
      <c r="G155" s="175" t="s">
        <v>652</v>
      </c>
      <c r="H155" s="175" t="s">
        <v>804</v>
      </c>
      <c r="I155" s="175"/>
      <c r="J155" s="175" t="s">
        <v>42</v>
      </c>
      <c r="K155" s="175" t="s">
        <v>644</v>
      </c>
      <c r="L155" s="175">
        <v>1</v>
      </c>
      <c r="M155" s="175" t="s">
        <v>645</v>
      </c>
      <c r="N155" s="181">
        <v>0</v>
      </c>
      <c r="O155" s="181">
        <v>0</v>
      </c>
      <c r="P155" s="181">
        <v>1500</v>
      </c>
      <c r="Q155" s="181">
        <v>1500</v>
      </c>
      <c r="R155" s="175" t="s">
        <v>438</v>
      </c>
      <c r="S155" s="181">
        <v>60</v>
      </c>
      <c r="T155" s="181">
        <v>1440</v>
      </c>
      <c r="U155" s="175" t="s">
        <v>799</v>
      </c>
      <c r="V155" s="175" t="s">
        <v>647</v>
      </c>
      <c r="W155" s="175"/>
      <c r="X155" s="175"/>
      <c r="Y155" s="175"/>
      <c r="Z155" s="175"/>
    </row>
    <row r="156" spans="1:26" x14ac:dyDescent="0.25">
      <c r="A156" s="175"/>
      <c r="B156" s="175"/>
      <c r="C156" s="175"/>
      <c r="D156" s="175"/>
      <c r="E156" s="175"/>
      <c r="F156" s="175"/>
      <c r="G156" s="175" t="s">
        <v>642</v>
      </c>
      <c r="H156" s="175" t="s">
        <v>805</v>
      </c>
      <c r="I156" s="175"/>
      <c r="J156" s="175" t="s">
        <v>547</v>
      </c>
      <c r="K156" s="175" t="s">
        <v>687</v>
      </c>
      <c r="L156" s="175">
        <v>1</v>
      </c>
      <c r="M156" s="175" t="s">
        <v>645</v>
      </c>
      <c r="N156" s="181">
        <v>0</v>
      </c>
      <c r="O156" s="181">
        <v>0</v>
      </c>
      <c r="P156" s="181">
        <v>8400</v>
      </c>
      <c r="Q156" s="181">
        <v>8400</v>
      </c>
      <c r="R156" s="175" t="s">
        <v>438</v>
      </c>
      <c r="S156" s="181">
        <v>300</v>
      </c>
      <c r="T156" s="181">
        <v>8100</v>
      </c>
      <c r="U156" s="175" t="s">
        <v>799</v>
      </c>
      <c r="V156" s="175" t="s">
        <v>647</v>
      </c>
      <c r="W156" s="175"/>
      <c r="X156" s="175"/>
      <c r="Y156" s="175"/>
      <c r="Z156" s="175"/>
    </row>
    <row r="157" spans="1:26" x14ac:dyDescent="0.25">
      <c r="A157" s="175"/>
      <c r="B157" s="175"/>
      <c r="C157" s="175"/>
      <c r="D157" s="175"/>
      <c r="E157" s="175"/>
      <c r="F157" s="175"/>
      <c r="G157" s="175" t="s">
        <v>652</v>
      </c>
      <c r="H157" s="175" t="s">
        <v>806</v>
      </c>
      <c r="I157" s="175"/>
      <c r="J157" s="175" t="s">
        <v>42</v>
      </c>
      <c r="K157" s="175" t="s">
        <v>644</v>
      </c>
      <c r="L157" s="175">
        <v>1</v>
      </c>
      <c r="M157" s="175" t="s">
        <v>645</v>
      </c>
      <c r="N157" s="181">
        <v>0</v>
      </c>
      <c r="O157" s="181">
        <v>0</v>
      </c>
      <c r="P157" s="181">
        <v>500</v>
      </c>
      <c r="Q157" s="181">
        <v>500</v>
      </c>
      <c r="R157" s="175" t="s">
        <v>438</v>
      </c>
      <c r="S157" s="181">
        <v>44</v>
      </c>
      <c r="T157" s="181">
        <v>456</v>
      </c>
      <c r="U157" s="175" t="s">
        <v>799</v>
      </c>
      <c r="V157" s="175" t="s">
        <v>647</v>
      </c>
      <c r="W157" s="175"/>
      <c r="X157" s="175"/>
      <c r="Y157" s="175"/>
      <c r="Z157" s="175"/>
    </row>
    <row r="158" spans="1:26" x14ac:dyDescent="0.25">
      <c r="A158" s="175"/>
      <c r="B158" s="175"/>
      <c r="C158" s="175"/>
      <c r="D158" s="175"/>
      <c r="E158" s="175"/>
      <c r="F158" s="175"/>
      <c r="G158" s="175" t="s">
        <v>642</v>
      </c>
      <c r="H158" s="175" t="s">
        <v>807</v>
      </c>
      <c r="I158" s="175"/>
      <c r="J158" s="175" t="s">
        <v>42</v>
      </c>
      <c r="K158" s="175" t="s">
        <v>644</v>
      </c>
      <c r="L158" s="175">
        <v>1</v>
      </c>
      <c r="M158" s="175" t="s">
        <v>645</v>
      </c>
      <c r="N158" s="181">
        <v>0</v>
      </c>
      <c r="O158" s="181">
        <v>0</v>
      </c>
      <c r="P158" s="181">
        <v>800</v>
      </c>
      <c r="Q158" s="181">
        <v>800</v>
      </c>
      <c r="R158" s="175" t="s">
        <v>438</v>
      </c>
      <c r="S158" s="181">
        <v>48</v>
      </c>
      <c r="T158" s="181">
        <v>752</v>
      </c>
      <c r="U158" s="175" t="s">
        <v>799</v>
      </c>
      <c r="V158" s="175" t="s">
        <v>647</v>
      </c>
      <c r="W158" s="175"/>
      <c r="X158" s="175"/>
      <c r="Y158" s="175"/>
      <c r="Z158" s="175"/>
    </row>
    <row r="159" spans="1:26" x14ac:dyDescent="0.25">
      <c r="A159" s="175"/>
      <c r="B159" s="175"/>
      <c r="C159" s="175"/>
      <c r="D159" s="175"/>
      <c r="E159" s="175"/>
      <c r="F159" s="175"/>
      <c r="G159" s="175" t="s">
        <v>642</v>
      </c>
      <c r="H159" s="175" t="s">
        <v>808</v>
      </c>
      <c r="I159" s="175"/>
      <c r="J159" s="175" t="s">
        <v>42</v>
      </c>
      <c r="K159" s="175" t="s">
        <v>644</v>
      </c>
      <c r="L159" s="175">
        <v>1</v>
      </c>
      <c r="M159" s="175" t="s">
        <v>645</v>
      </c>
      <c r="N159" s="181">
        <v>0</v>
      </c>
      <c r="O159" s="181">
        <v>0</v>
      </c>
      <c r="P159" s="181">
        <v>1700</v>
      </c>
      <c r="Q159" s="181">
        <v>1700</v>
      </c>
      <c r="R159" s="175" t="s">
        <v>438</v>
      </c>
      <c r="S159" s="181">
        <v>62</v>
      </c>
      <c r="T159" s="181">
        <v>1638</v>
      </c>
      <c r="U159" s="175" t="s">
        <v>799</v>
      </c>
      <c r="V159" s="175" t="s">
        <v>647</v>
      </c>
      <c r="W159" s="175"/>
      <c r="X159" s="175"/>
      <c r="Y159" s="175"/>
      <c r="Z159" s="175"/>
    </row>
    <row r="160" spans="1:26" x14ac:dyDescent="0.25">
      <c r="A160" s="175"/>
      <c r="B160" s="175"/>
      <c r="C160" s="175"/>
      <c r="D160" s="175"/>
      <c r="E160" s="175"/>
      <c r="F160" s="175"/>
      <c r="G160" s="175" t="s">
        <v>652</v>
      </c>
      <c r="H160" s="175" t="s">
        <v>809</v>
      </c>
      <c r="I160" s="175"/>
      <c r="J160" s="175" t="s">
        <v>42</v>
      </c>
      <c r="K160" s="175" t="s">
        <v>644</v>
      </c>
      <c r="L160" s="175">
        <v>1</v>
      </c>
      <c r="M160" s="175" t="s">
        <v>645</v>
      </c>
      <c r="N160" s="181">
        <v>0</v>
      </c>
      <c r="O160" s="181">
        <v>0</v>
      </c>
      <c r="P160" s="181">
        <v>3700</v>
      </c>
      <c r="Q160" s="181">
        <v>3700</v>
      </c>
      <c r="R160" s="175" t="s">
        <v>438</v>
      </c>
      <c r="S160" s="181">
        <v>93</v>
      </c>
      <c r="T160" s="181">
        <v>3607</v>
      </c>
      <c r="U160" s="175" t="s">
        <v>799</v>
      </c>
      <c r="V160" s="175" t="s">
        <v>647</v>
      </c>
      <c r="W160" s="175"/>
      <c r="X160" s="175"/>
      <c r="Y160" s="175"/>
      <c r="Z160" s="175"/>
    </row>
    <row r="161" spans="1:26" x14ac:dyDescent="0.25">
      <c r="A161" s="175"/>
      <c r="B161" s="175"/>
      <c r="C161" s="175"/>
      <c r="D161" s="175"/>
      <c r="E161" s="175"/>
      <c r="F161" s="175"/>
      <c r="G161" s="175" t="s">
        <v>642</v>
      </c>
      <c r="H161" s="175" t="s">
        <v>810</v>
      </c>
      <c r="I161" s="175"/>
      <c r="J161" s="175" t="s">
        <v>42</v>
      </c>
      <c r="K161" s="175" t="s">
        <v>644</v>
      </c>
      <c r="L161" s="175">
        <v>1</v>
      </c>
      <c r="M161" s="175" t="s">
        <v>645</v>
      </c>
      <c r="N161" s="181">
        <v>0</v>
      </c>
      <c r="O161" s="181">
        <v>0</v>
      </c>
      <c r="P161" s="181">
        <v>4000</v>
      </c>
      <c r="Q161" s="181">
        <v>4000</v>
      </c>
      <c r="R161" s="175" t="s">
        <v>438</v>
      </c>
      <c r="S161" s="181">
        <v>98</v>
      </c>
      <c r="T161" s="181">
        <v>3902</v>
      </c>
      <c r="U161" s="175" t="s">
        <v>799</v>
      </c>
      <c r="V161" s="175" t="s">
        <v>647</v>
      </c>
      <c r="W161" s="175"/>
      <c r="X161" s="175"/>
      <c r="Y161" s="175"/>
      <c r="Z161" s="175"/>
    </row>
    <row r="162" spans="1:26" x14ac:dyDescent="0.25">
      <c r="A162" s="175"/>
      <c r="B162" s="175"/>
      <c r="C162" s="175"/>
      <c r="D162" s="175"/>
      <c r="E162" s="175"/>
      <c r="F162" s="175"/>
      <c r="G162" s="175" t="s">
        <v>652</v>
      </c>
      <c r="H162" s="175" t="s">
        <v>811</v>
      </c>
      <c r="I162" s="175"/>
      <c r="J162" s="175" t="s">
        <v>42</v>
      </c>
      <c r="K162" s="175" t="s">
        <v>644</v>
      </c>
      <c r="L162" s="175">
        <v>1</v>
      </c>
      <c r="M162" s="175" t="s">
        <v>645</v>
      </c>
      <c r="N162" s="181">
        <v>0</v>
      </c>
      <c r="O162" s="181">
        <v>0</v>
      </c>
      <c r="P162" s="181">
        <v>1500</v>
      </c>
      <c r="Q162" s="181">
        <v>1500</v>
      </c>
      <c r="R162" s="175" t="s">
        <v>438</v>
      </c>
      <c r="S162" s="181">
        <v>60</v>
      </c>
      <c r="T162" s="181">
        <v>1440</v>
      </c>
      <c r="U162" s="175" t="s">
        <v>812</v>
      </c>
      <c r="V162" s="175" t="s">
        <v>647</v>
      </c>
      <c r="W162" s="175"/>
      <c r="X162" s="175"/>
      <c r="Y162" s="175"/>
      <c r="Z162" s="175"/>
    </row>
    <row r="163" spans="1:26" x14ac:dyDescent="0.25">
      <c r="A163" s="175"/>
      <c r="B163" s="175"/>
      <c r="C163" s="175"/>
      <c r="D163" s="175"/>
      <c r="E163" s="175"/>
      <c r="F163" s="175"/>
      <c r="G163" s="175" t="s">
        <v>642</v>
      </c>
      <c r="H163" s="175" t="s">
        <v>813</v>
      </c>
      <c r="I163" s="175"/>
      <c r="J163" s="175" t="s">
        <v>42</v>
      </c>
      <c r="K163" s="175" t="s">
        <v>644</v>
      </c>
      <c r="L163" s="175">
        <v>1</v>
      </c>
      <c r="M163" s="175" t="s">
        <v>645</v>
      </c>
      <c r="N163" s="181">
        <v>0</v>
      </c>
      <c r="O163" s="181">
        <v>0</v>
      </c>
      <c r="P163" s="181">
        <v>1700</v>
      </c>
      <c r="Q163" s="181">
        <v>1700</v>
      </c>
      <c r="R163" s="175" t="s">
        <v>438</v>
      </c>
      <c r="S163" s="181">
        <v>62</v>
      </c>
      <c r="T163" s="181">
        <v>1638</v>
      </c>
      <c r="U163" s="175" t="s">
        <v>812</v>
      </c>
      <c r="V163" s="175" t="s">
        <v>647</v>
      </c>
      <c r="W163" s="175"/>
      <c r="X163" s="175"/>
      <c r="Y163" s="175"/>
      <c r="Z163" s="175"/>
    </row>
    <row r="164" spans="1:26" x14ac:dyDescent="0.25">
      <c r="A164" s="175"/>
      <c r="B164" s="175"/>
      <c r="C164" s="175"/>
      <c r="D164" s="175"/>
      <c r="E164" s="175"/>
      <c r="F164" s="175"/>
      <c r="G164" s="175" t="s">
        <v>642</v>
      </c>
      <c r="H164" s="175" t="s">
        <v>814</v>
      </c>
      <c r="I164" s="175"/>
      <c r="J164" s="175" t="s">
        <v>42</v>
      </c>
      <c r="K164" s="175" t="s">
        <v>644</v>
      </c>
      <c r="L164" s="175">
        <v>1</v>
      </c>
      <c r="M164" s="175" t="s">
        <v>645</v>
      </c>
      <c r="N164" s="181">
        <v>0</v>
      </c>
      <c r="O164" s="181">
        <v>0</v>
      </c>
      <c r="P164" s="181">
        <v>4500</v>
      </c>
      <c r="Q164" s="181">
        <v>4500</v>
      </c>
      <c r="R164" s="175" t="s">
        <v>439</v>
      </c>
      <c r="S164" s="181">
        <v>106</v>
      </c>
      <c r="T164" s="181">
        <v>4394</v>
      </c>
      <c r="U164" s="175" t="s">
        <v>812</v>
      </c>
      <c r="V164" s="175" t="s">
        <v>647</v>
      </c>
      <c r="W164" s="175"/>
      <c r="X164" s="175"/>
      <c r="Y164" s="175"/>
      <c r="Z164" s="175"/>
    </row>
    <row r="165" spans="1:26" x14ac:dyDescent="0.25">
      <c r="A165" s="175"/>
      <c r="B165" s="175"/>
      <c r="C165" s="175"/>
      <c r="D165" s="175"/>
      <c r="E165" s="175"/>
      <c r="F165" s="175"/>
      <c r="G165" s="175" t="s">
        <v>642</v>
      </c>
      <c r="H165" s="175" t="s">
        <v>815</v>
      </c>
      <c r="I165" s="175"/>
      <c r="J165" s="175" t="s">
        <v>42</v>
      </c>
      <c r="K165" s="175" t="s">
        <v>644</v>
      </c>
      <c r="L165" s="175">
        <v>1</v>
      </c>
      <c r="M165" s="175" t="s">
        <v>645</v>
      </c>
      <c r="N165" s="181">
        <v>0</v>
      </c>
      <c r="O165" s="181">
        <v>0</v>
      </c>
      <c r="P165" s="181">
        <v>6000</v>
      </c>
      <c r="Q165" s="181">
        <v>6000</v>
      </c>
      <c r="R165" s="175" t="s">
        <v>439</v>
      </c>
      <c r="S165" s="181">
        <v>129</v>
      </c>
      <c r="T165" s="181">
        <v>5871</v>
      </c>
      <c r="U165" s="175" t="s">
        <v>812</v>
      </c>
      <c r="V165" s="175" t="s">
        <v>647</v>
      </c>
      <c r="W165" s="175"/>
      <c r="X165" s="175"/>
      <c r="Y165" s="175"/>
      <c r="Z165" s="175"/>
    </row>
    <row r="166" spans="1:26" x14ac:dyDescent="0.25">
      <c r="A166" s="175"/>
      <c r="B166" s="175"/>
      <c r="C166" s="175"/>
      <c r="D166" s="175"/>
      <c r="E166" s="175"/>
      <c r="F166" s="175"/>
      <c r="G166" s="175" t="s">
        <v>642</v>
      </c>
      <c r="H166" s="175" t="s">
        <v>816</v>
      </c>
      <c r="I166" s="175"/>
      <c r="J166" s="175" t="s">
        <v>42</v>
      </c>
      <c r="K166" s="175" t="s">
        <v>644</v>
      </c>
      <c r="L166" s="175">
        <v>1</v>
      </c>
      <c r="M166" s="175" t="s">
        <v>645</v>
      </c>
      <c r="N166" s="181">
        <v>0</v>
      </c>
      <c r="O166" s="181">
        <v>0</v>
      </c>
      <c r="P166" s="181">
        <v>2500</v>
      </c>
      <c r="Q166" s="181">
        <v>2500</v>
      </c>
      <c r="R166" s="175" t="s">
        <v>438</v>
      </c>
      <c r="S166" s="181">
        <v>75</v>
      </c>
      <c r="T166" s="181">
        <v>2425</v>
      </c>
      <c r="U166" s="175" t="s">
        <v>812</v>
      </c>
      <c r="V166" s="175" t="s">
        <v>647</v>
      </c>
      <c r="W166" s="175"/>
      <c r="X166" s="175"/>
      <c r="Y166" s="175"/>
      <c r="Z166" s="175"/>
    </row>
    <row r="167" spans="1:26" x14ac:dyDescent="0.25">
      <c r="A167" s="175"/>
      <c r="B167" s="175"/>
      <c r="C167" s="175"/>
      <c r="D167" s="175"/>
      <c r="E167" s="175"/>
      <c r="F167" s="175"/>
      <c r="G167" s="175" t="s">
        <v>642</v>
      </c>
      <c r="H167" s="175" t="s">
        <v>817</v>
      </c>
      <c r="I167" s="175"/>
      <c r="J167" s="175" t="s">
        <v>42</v>
      </c>
      <c r="K167" s="175" t="s">
        <v>644</v>
      </c>
      <c r="L167" s="175">
        <v>1</v>
      </c>
      <c r="M167" s="175" t="s">
        <v>645</v>
      </c>
      <c r="N167" s="181">
        <v>0</v>
      </c>
      <c r="O167" s="181">
        <v>0</v>
      </c>
      <c r="P167" s="181">
        <v>900</v>
      </c>
      <c r="Q167" s="181">
        <v>900</v>
      </c>
      <c r="R167" s="175" t="s">
        <v>438</v>
      </c>
      <c r="S167" s="181">
        <v>50</v>
      </c>
      <c r="T167" s="181">
        <v>850</v>
      </c>
      <c r="U167" s="175" t="s">
        <v>812</v>
      </c>
      <c r="V167" s="175" t="s">
        <v>647</v>
      </c>
      <c r="W167" s="175"/>
      <c r="X167" s="175"/>
      <c r="Y167" s="175"/>
      <c r="Z167" s="175"/>
    </row>
    <row r="168" spans="1:26" x14ac:dyDescent="0.25">
      <c r="A168" s="175"/>
      <c r="B168" s="175"/>
      <c r="C168" s="175"/>
      <c r="D168" s="175"/>
      <c r="E168" s="175"/>
      <c r="F168" s="175"/>
      <c r="G168" s="175" t="s">
        <v>652</v>
      </c>
      <c r="H168" s="175" t="s">
        <v>818</v>
      </c>
      <c r="I168" s="175"/>
      <c r="J168" s="175" t="s">
        <v>42</v>
      </c>
      <c r="K168" s="175" t="s">
        <v>644</v>
      </c>
      <c r="L168" s="175">
        <v>1</v>
      </c>
      <c r="M168" s="175" t="s">
        <v>645</v>
      </c>
      <c r="N168" s="181">
        <v>0</v>
      </c>
      <c r="O168" s="181">
        <v>0</v>
      </c>
      <c r="P168" s="181">
        <v>500</v>
      </c>
      <c r="Q168" s="181">
        <v>500</v>
      </c>
      <c r="R168" s="175" t="s">
        <v>438</v>
      </c>
      <c r="S168" s="181">
        <v>44</v>
      </c>
      <c r="T168" s="181">
        <v>456</v>
      </c>
      <c r="U168" s="175" t="s">
        <v>812</v>
      </c>
      <c r="V168" s="175" t="s">
        <v>647</v>
      </c>
      <c r="W168" s="175"/>
      <c r="X168" s="175"/>
      <c r="Y168" s="175"/>
      <c r="Z168" s="175"/>
    </row>
    <row r="169" spans="1:26" x14ac:dyDescent="0.25">
      <c r="A169" s="175"/>
      <c r="B169" s="175"/>
      <c r="C169" s="175"/>
      <c r="D169" s="175"/>
      <c r="E169" s="175"/>
      <c r="F169" s="175"/>
      <c r="G169" s="175" t="s">
        <v>642</v>
      </c>
      <c r="H169" s="175" t="s">
        <v>819</v>
      </c>
      <c r="I169" s="175"/>
      <c r="J169" s="175" t="s">
        <v>42</v>
      </c>
      <c r="K169" s="175" t="s">
        <v>644</v>
      </c>
      <c r="L169" s="175">
        <v>1</v>
      </c>
      <c r="M169" s="175" t="s">
        <v>645</v>
      </c>
      <c r="N169" s="181">
        <v>0</v>
      </c>
      <c r="O169" s="181">
        <v>0</v>
      </c>
      <c r="P169" s="181">
        <v>1700</v>
      </c>
      <c r="Q169" s="181">
        <v>1700</v>
      </c>
      <c r="R169" s="175" t="s">
        <v>438</v>
      </c>
      <c r="S169" s="181">
        <v>62</v>
      </c>
      <c r="T169" s="181">
        <v>1638</v>
      </c>
      <c r="U169" s="175" t="s">
        <v>812</v>
      </c>
      <c r="V169" s="175" t="s">
        <v>647</v>
      </c>
      <c r="W169" s="175"/>
      <c r="X169" s="175"/>
      <c r="Y169" s="175"/>
      <c r="Z169" s="175"/>
    </row>
    <row r="170" spans="1:26" x14ac:dyDescent="0.25">
      <c r="A170" s="175"/>
      <c r="B170" s="175"/>
      <c r="C170" s="175"/>
      <c r="D170" s="175"/>
      <c r="E170" s="175"/>
      <c r="F170" s="175"/>
      <c r="G170" s="175" t="s">
        <v>642</v>
      </c>
      <c r="H170" s="175" t="s">
        <v>820</v>
      </c>
      <c r="I170" s="175"/>
      <c r="J170" s="175" t="s">
        <v>42</v>
      </c>
      <c r="K170" s="175" t="s">
        <v>644</v>
      </c>
      <c r="L170" s="175">
        <v>1</v>
      </c>
      <c r="M170" s="175" t="s">
        <v>645</v>
      </c>
      <c r="N170" s="181">
        <v>0</v>
      </c>
      <c r="O170" s="181">
        <v>0</v>
      </c>
      <c r="P170" s="181">
        <v>3300</v>
      </c>
      <c r="Q170" s="181">
        <v>3300</v>
      </c>
      <c r="R170" s="175" t="s">
        <v>438</v>
      </c>
      <c r="S170" s="181">
        <v>87</v>
      </c>
      <c r="T170" s="181">
        <v>3213</v>
      </c>
      <c r="U170" s="175" t="s">
        <v>812</v>
      </c>
      <c r="V170" s="175" t="s">
        <v>647</v>
      </c>
      <c r="W170" s="175"/>
      <c r="X170" s="175"/>
      <c r="Y170" s="175"/>
      <c r="Z170" s="175"/>
    </row>
    <row r="171" spans="1:26" x14ac:dyDescent="0.25">
      <c r="A171" s="175"/>
      <c r="B171" s="175"/>
      <c r="C171" s="175"/>
      <c r="D171" s="175"/>
      <c r="E171" s="175"/>
      <c r="F171" s="175"/>
      <c r="G171" s="175" t="s">
        <v>642</v>
      </c>
      <c r="H171" s="175" t="s">
        <v>821</v>
      </c>
      <c r="I171" s="175"/>
      <c r="J171" s="175" t="s">
        <v>42</v>
      </c>
      <c r="K171" s="175" t="s">
        <v>644</v>
      </c>
      <c r="L171" s="175">
        <v>1</v>
      </c>
      <c r="M171" s="175" t="s">
        <v>645</v>
      </c>
      <c r="N171" s="181">
        <v>0</v>
      </c>
      <c r="O171" s="181">
        <v>0</v>
      </c>
      <c r="P171" s="181">
        <v>76800</v>
      </c>
      <c r="Q171" s="181">
        <v>76800</v>
      </c>
      <c r="R171" s="175" t="s">
        <v>439</v>
      </c>
      <c r="S171" s="181">
        <v>1223</v>
      </c>
      <c r="T171" s="181">
        <v>75577</v>
      </c>
      <c r="U171" s="175" t="s">
        <v>812</v>
      </c>
      <c r="V171" s="175" t="s">
        <v>647</v>
      </c>
      <c r="W171" s="175"/>
      <c r="X171" s="175"/>
      <c r="Y171" s="175"/>
      <c r="Z171" s="175"/>
    </row>
    <row r="172" spans="1:26" x14ac:dyDescent="0.25">
      <c r="A172" s="175"/>
      <c r="B172" s="175"/>
      <c r="C172" s="175"/>
      <c r="D172" s="175"/>
      <c r="E172" s="175"/>
      <c r="F172" s="175"/>
      <c r="G172" s="175" t="s">
        <v>642</v>
      </c>
      <c r="H172" s="175" t="s">
        <v>822</v>
      </c>
      <c r="I172" s="175"/>
      <c r="J172" s="175" t="s">
        <v>42</v>
      </c>
      <c r="K172" s="175" t="s">
        <v>644</v>
      </c>
      <c r="L172" s="175">
        <v>1</v>
      </c>
      <c r="M172" s="175" t="s">
        <v>645</v>
      </c>
      <c r="N172" s="181">
        <v>0</v>
      </c>
      <c r="O172" s="181">
        <v>0</v>
      </c>
      <c r="P172" s="181">
        <v>800</v>
      </c>
      <c r="Q172" s="181">
        <v>800</v>
      </c>
      <c r="R172" s="175" t="s">
        <v>438</v>
      </c>
      <c r="S172" s="181">
        <v>48</v>
      </c>
      <c r="T172" s="181">
        <v>752</v>
      </c>
      <c r="U172" s="175" t="s">
        <v>812</v>
      </c>
      <c r="V172" s="175" t="s">
        <v>647</v>
      </c>
      <c r="W172" s="175"/>
      <c r="X172" s="175"/>
      <c r="Y172" s="175"/>
      <c r="Z172" s="175"/>
    </row>
    <row r="173" spans="1:26" x14ac:dyDescent="0.25">
      <c r="A173" s="175"/>
      <c r="B173" s="175"/>
      <c r="C173" s="175"/>
      <c r="D173" s="175"/>
      <c r="E173" s="175"/>
      <c r="F173" s="175"/>
      <c r="G173" s="175" t="s">
        <v>642</v>
      </c>
      <c r="H173" s="175" t="s">
        <v>823</v>
      </c>
      <c r="I173" s="175"/>
      <c r="J173" s="175" t="s">
        <v>547</v>
      </c>
      <c r="K173" s="175" t="s">
        <v>687</v>
      </c>
      <c r="L173" s="175">
        <v>1</v>
      </c>
      <c r="M173" s="175" t="s">
        <v>645</v>
      </c>
      <c r="N173" s="181">
        <v>0</v>
      </c>
      <c r="O173" s="181">
        <v>0</v>
      </c>
      <c r="P173" s="181">
        <v>65600</v>
      </c>
      <c r="Q173" s="181">
        <v>65600</v>
      </c>
      <c r="R173" s="175" t="s">
        <v>439</v>
      </c>
      <c r="S173" s="181">
        <v>2015</v>
      </c>
      <c r="T173" s="181">
        <v>63585</v>
      </c>
      <c r="U173" s="175" t="s">
        <v>812</v>
      </c>
      <c r="V173" s="175" t="s">
        <v>647</v>
      </c>
      <c r="W173" s="175"/>
      <c r="X173" s="175"/>
      <c r="Y173" s="175"/>
      <c r="Z173" s="175"/>
    </row>
    <row r="174" spans="1:26" x14ac:dyDescent="0.25">
      <c r="A174" s="175"/>
      <c r="B174" s="175"/>
      <c r="C174" s="175"/>
      <c r="D174" s="175"/>
      <c r="E174" s="175"/>
      <c r="F174" s="175"/>
      <c r="G174" s="175" t="s">
        <v>642</v>
      </c>
      <c r="H174" s="175" t="s">
        <v>824</v>
      </c>
      <c r="I174" s="175"/>
      <c r="J174" s="175" t="s">
        <v>42</v>
      </c>
      <c r="K174" s="175" t="s">
        <v>644</v>
      </c>
      <c r="L174" s="175">
        <v>1</v>
      </c>
      <c r="M174" s="175" t="s">
        <v>645</v>
      </c>
      <c r="N174" s="181">
        <v>0</v>
      </c>
      <c r="O174" s="181">
        <v>0</v>
      </c>
      <c r="P174" s="181">
        <v>1700</v>
      </c>
      <c r="Q174" s="181">
        <v>1700</v>
      </c>
      <c r="R174" s="175" t="s">
        <v>438</v>
      </c>
      <c r="S174" s="181">
        <v>62</v>
      </c>
      <c r="T174" s="181">
        <v>1638</v>
      </c>
      <c r="U174" s="175" t="s">
        <v>825</v>
      </c>
      <c r="V174" s="175" t="s">
        <v>647</v>
      </c>
      <c r="W174" s="175"/>
      <c r="X174" s="175"/>
      <c r="Y174" s="175"/>
      <c r="Z174" s="175"/>
    </row>
    <row r="175" spans="1:26" x14ac:dyDescent="0.25">
      <c r="A175" s="175"/>
      <c r="B175" s="175"/>
      <c r="C175" s="175"/>
      <c r="D175" s="175"/>
      <c r="E175" s="175"/>
      <c r="F175" s="175"/>
      <c r="G175" s="175" t="s">
        <v>642</v>
      </c>
      <c r="H175" s="175" t="s">
        <v>826</v>
      </c>
      <c r="I175" s="175"/>
      <c r="J175" s="175" t="s">
        <v>42</v>
      </c>
      <c r="K175" s="175" t="s">
        <v>644</v>
      </c>
      <c r="L175" s="175">
        <v>1</v>
      </c>
      <c r="M175" s="175" t="s">
        <v>645</v>
      </c>
      <c r="N175" s="181">
        <v>0</v>
      </c>
      <c r="O175" s="181">
        <v>0</v>
      </c>
      <c r="P175" s="181">
        <v>3400</v>
      </c>
      <c r="Q175" s="181">
        <v>3400</v>
      </c>
      <c r="R175" s="175" t="s">
        <v>438</v>
      </c>
      <c r="S175" s="181">
        <v>88</v>
      </c>
      <c r="T175" s="181">
        <v>3312</v>
      </c>
      <c r="U175" s="175" t="s">
        <v>825</v>
      </c>
      <c r="V175" s="175" t="s">
        <v>647</v>
      </c>
      <c r="W175" s="175"/>
      <c r="X175" s="175"/>
      <c r="Y175" s="175"/>
      <c r="Z175" s="175"/>
    </row>
    <row r="176" spans="1:26" x14ac:dyDescent="0.25">
      <c r="A176" s="175"/>
      <c r="B176" s="175"/>
      <c r="C176" s="175"/>
      <c r="D176" s="175"/>
      <c r="E176" s="175"/>
      <c r="F176" s="175"/>
      <c r="G176" s="175" t="s">
        <v>827</v>
      </c>
      <c r="H176" s="175" t="s">
        <v>828</v>
      </c>
      <c r="I176" s="175"/>
      <c r="J176" s="175" t="s">
        <v>547</v>
      </c>
      <c r="K176" s="175" t="s">
        <v>687</v>
      </c>
      <c r="L176" s="175">
        <v>1</v>
      </c>
      <c r="M176" s="175" t="s">
        <v>645</v>
      </c>
      <c r="N176" s="181">
        <v>0</v>
      </c>
      <c r="O176" s="181">
        <v>0</v>
      </c>
      <c r="P176" s="181">
        <v>48000</v>
      </c>
      <c r="Q176" s="181">
        <v>48000</v>
      </c>
      <c r="R176" s="175" t="s">
        <v>439</v>
      </c>
      <c r="S176" s="181">
        <v>1488</v>
      </c>
      <c r="T176" s="181">
        <v>46512</v>
      </c>
      <c r="U176" s="175" t="s">
        <v>825</v>
      </c>
      <c r="V176" s="175" t="s">
        <v>647</v>
      </c>
      <c r="W176" s="175"/>
      <c r="X176" s="175"/>
      <c r="Y176" s="175"/>
      <c r="Z176" s="175"/>
    </row>
    <row r="177" spans="1:26" x14ac:dyDescent="0.25">
      <c r="A177" s="175"/>
      <c r="B177" s="175"/>
      <c r="C177" s="175"/>
      <c r="D177" s="175"/>
      <c r="E177" s="175"/>
      <c r="F177" s="175"/>
      <c r="G177" s="175" t="s">
        <v>652</v>
      </c>
      <c r="H177" s="175" t="s">
        <v>829</v>
      </c>
      <c r="I177" s="175"/>
      <c r="J177" s="175" t="s">
        <v>42</v>
      </c>
      <c r="K177" s="175" t="s">
        <v>644</v>
      </c>
      <c r="L177" s="175">
        <v>1</v>
      </c>
      <c r="M177" s="175" t="s">
        <v>645</v>
      </c>
      <c r="N177" s="181">
        <v>0</v>
      </c>
      <c r="O177" s="181">
        <v>0</v>
      </c>
      <c r="P177" s="181">
        <v>1200</v>
      </c>
      <c r="Q177" s="181">
        <v>1200</v>
      </c>
      <c r="R177" s="175" t="s">
        <v>438</v>
      </c>
      <c r="S177" s="181">
        <v>55</v>
      </c>
      <c r="T177" s="181">
        <v>1145</v>
      </c>
      <c r="U177" s="175" t="s">
        <v>825</v>
      </c>
      <c r="V177" s="175" t="s">
        <v>647</v>
      </c>
      <c r="W177" s="175"/>
      <c r="X177" s="175"/>
      <c r="Y177" s="175"/>
      <c r="Z177" s="175"/>
    </row>
    <row r="178" spans="1:26" x14ac:dyDescent="0.25">
      <c r="A178" s="175"/>
      <c r="B178" s="175"/>
      <c r="C178" s="175"/>
      <c r="D178" s="175"/>
      <c r="E178" s="175"/>
      <c r="F178" s="175"/>
      <c r="G178" s="175" t="s">
        <v>642</v>
      </c>
      <c r="H178" s="175" t="s">
        <v>830</v>
      </c>
      <c r="I178" s="175"/>
      <c r="J178" s="175" t="s">
        <v>42</v>
      </c>
      <c r="K178" s="175" t="s">
        <v>644</v>
      </c>
      <c r="L178" s="175">
        <v>1</v>
      </c>
      <c r="M178" s="175" t="s">
        <v>645</v>
      </c>
      <c r="N178" s="181">
        <v>0</v>
      </c>
      <c r="O178" s="181">
        <v>0</v>
      </c>
      <c r="P178" s="181">
        <v>900</v>
      </c>
      <c r="Q178" s="181">
        <v>900</v>
      </c>
      <c r="R178" s="175" t="s">
        <v>438</v>
      </c>
      <c r="S178" s="181">
        <v>50</v>
      </c>
      <c r="T178" s="181">
        <v>850</v>
      </c>
      <c r="U178" s="175" t="s">
        <v>831</v>
      </c>
      <c r="V178" s="175" t="s">
        <v>647</v>
      </c>
      <c r="W178" s="175"/>
      <c r="X178" s="175"/>
      <c r="Y178" s="175"/>
      <c r="Z178" s="175"/>
    </row>
    <row r="179" spans="1:26" x14ac:dyDescent="0.25">
      <c r="A179" s="175"/>
      <c r="B179" s="175"/>
      <c r="C179" s="175"/>
      <c r="D179" s="175"/>
      <c r="E179" s="175"/>
      <c r="F179" s="175"/>
      <c r="G179" s="175" t="s">
        <v>642</v>
      </c>
      <c r="H179" s="175" t="s">
        <v>832</v>
      </c>
      <c r="I179" s="175"/>
      <c r="J179" s="175" t="s">
        <v>42</v>
      </c>
      <c r="K179" s="175" t="s">
        <v>644</v>
      </c>
      <c r="L179" s="175">
        <v>1</v>
      </c>
      <c r="M179" s="175" t="s">
        <v>645</v>
      </c>
      <c r="N179" s="181">
        <v>0</v>
      </c>
      <c r="O179" s="181">
        <v>0</v>
      </c>
      <c r="P179" s="181">
        <v>3400</v>
      </c>
      <c r="Q179" s="181">
        <v>3400</v>
      </c>
      <c r="R179" s="175" t="s">
        <v>438</v>
      </c>
      <c r="S179" s="181">
        <v>88</v>
      </c>
      <c r="T179" s="181">
        <v>3312</v>
      </c>
      <c r="U179" s="175" t="s">
        <v>831</v>
      </c>
      <c r="V179" s="175" t="s">
        <v>647</v>
      </c>
      <c r="W179" s="175"/>
      <c r="X179" s="175"/>
      <c r="Y179" s="175"/>
      <c r="Z179" s="175"/>
    </row>
    <row r="180" spans="1:26" x14ac:dyDescent="0.25">
      <c r="A180" s="175"/>
      <c r="B180" s="175"/>
      <c r="C180" s="175"/>
      <c r="D180" s="175"/>
      <c r="E180" s="175"/>
      <c r="F180" s="175"/>
      <c r="G180" s="175" t="s">
        <v>642</v>
      </c>
      <c r="H180" s="175" t="s">
        <v>833</v>
      </c>
      <c r="I180" s="175"/>
      <c r="J180" s="175" t="s">
        <v>42</v>
      </c>
      <c r="K180" s="175" t="s">
        <v>644</v>
      </c>
      <c r="L180" s="175">
        <v>1</v>
      </c>
      <c r="M180" s="175" t="s">
        <v>645</v>
      </c>
      <c r="N180" s="181">
        <v>0</v>
      </c>
      <c r="O180" s="181">
        <v>0</v>
      </c>
      <c r="P180" s="181">
        <v>3300</v>
      </c>
      <c r="Q180" s="181">
        <v>3300</v>
      </c>
      <c r="R180" s="175" t="s">
        <v>438</v>
      </c>
      <c r="S180" s="181">
        <v>87</v>
      </c>
      <c r="T180" s="181">
        <v>3213</v>
      </c>
      <c r="U180" s="175" t="s">
        <v>831</v>
      </c>
      <c r="V180" s="175" t="s">
        <v>647</v>
      </c>
      <c r="W180" s="175"/>
      <c r="X180" s="175"/>
      <c r="Y180" s="175"/>
      <c r="Z180" s="175"/>
    </row>
    <row r="181" spans="1:26" x14ac:dyDescent="0.25">
      <c r="A181" s="175"/>
      <c r="B181" s="175"/>
      <c r="C181" s="175"/>
      <c r="D181" s="175"/>
      <c r="E181" s="175"/>
      <c r="F181" s="175"/>
      <c r="G181" s="175" t="s">
        <v>652</v>
      </c>
      <c r="H181" s="175" t="s">
        <v>834</v>
      </c>
      <c r="I181" s="175"/>
      <c r="J181" s="175" t="s">
        <v>547</v>
      </c>
      <c r="K181" s="175" t="s">
        <v>835</v>
      </c>
      <c r="L181" s="175">
        <v>3</v>
      </c>
      <c r="M181" s="175" t="s">
        <v>645</v>
      </c>
      <c r="N181" s="181">
        <v>0</v>
      </c>
      <c r="O181" s="181">
        <v>0</v>
      </c>
      <c r="P181" s="181">
        <v>53000</v>
      </c>
      <c r="Q181" s="181">
        <v>53000</v>
      </c>
      <c r="R181" s="175" t="s">
        <v>439</v>
      </c>
      <c r="S181" s="181">
        <v>1637</v>
      </c>
      <c r="T181" s="181">
        <v>51363</v>
      </c>
      <c r="U181" s="175" t="s">
        <v>836</v>
      </c>
      <c r="V181" s="175" t="s">
        <v>647</v>
      </c>
      <c r="W181" s="175"/>
      <c r="X181" s="175"/>
      <c r="Y181" s="175"/>
      <c r="Z181" s="175"/>
    </row>
    <row r="182" spans="1:26" x14ac:dyDescent="0.25">
      <c r="A182" s="175"/>
      <c r="B182" s="175"/>
      <c r="C182" s="175"/>
      <c r="D182" s="175"/>
      <c r="E182" s="175"/>
      <c r="F182" s="175"/>
      <c r="G182" s="175" t="s">
        <v>652</v>
      </c>
      <c r="H182" s="175" t="s">
        <v>837</v>
      </c>
      <c r="I182" s="175"/>
      <c r="J182" s="175" t="s">
        <v>547</v>
      </c>
      <c r="K182" s="175" t="s">
        <v>687</v>
      </c>
      <c r="L182" s="175">
        <v>1</v>
      </c>
      <c r="M182" s="175" t="s">
        <v>645</v>
      </c>
      <c r="N182" s="181">
        <v>0</v>
      </c>
      <c r="O182" s="181">
        <v>0</v>
      </c>
      <c r="P182" s="181">
        <v>1700</v>
      </c>
      <c r="Q182" s="181">
        <v>1700</v>
      </c>
      <c r="R182" s="175" t="s">
        <v>438</v>
      </c>
      <c r="S182" s="181">
        <v>99</v>
      </c>
      <c r="T182" s="181">
        <v>1601</v>
      </c>
      <c r="U182" s="175" t="s">
        <v>836</v>
      </c>
      <c r="V182" s="175" t="s">
        <v>647</v>
      </c>
      <c r="W182" s="175"/>
      <c r="X182" s="175"/>
      <c r="Y182" s="175"/>
      <c r="Z182" s="175"/>
    </row>
    <row r="183" spans="1:26" x14ac:dyDescent="0.25">
      <c r="A183" s="175"/>
      <c r="B183" s="175"/>
      <c r="C183" s="175"/>
      <c r="D183" s="175"/>
      <c r="E183" s="175"/>
      <c r="F183" s="175"/>
      <c r="G183" s="175" t="s">
        <v>652</v>
      </c>
      <c r="H183" s="175" t="s">
        <v>838</v>
      </c>
      <c r="I183" s="175"/>
      <c r="J183" s="175" t="s">
        <v>42</v>
      </c>
      <c r="K183" s="175" t="s">
        <v>644</v>
      </c>
      <c r="L183" s="175">
        <v>1</v>
      </c>
      <c r="M183" s="175" t="s">
        <v>645</v>
      </c>
      <c r="N183" s="181">
        <v>0</v>
      </c>
      <c r="O183" s="181">
        <v>0</v>
      </c>
      <c r="P183" s="181">
        <v>500</v>
      </c>
      <c r="Q183" s="181">
        <v>500</v>
      </c>
      <c r="R183" s="175" t="s">
        <v>438</v>
      </c>
      <c r="S183" s="181">
        <v>44</v>
      </c>
      <c r="T183" s="181">
        <v>456</v>
      </c>
      <c r="U183" s="175" t="s">
        <v>836</v>
      </c>
      <c r="V183" s="175" t="s">
        <v>647</v>
      </c>
      <c r="W183" s="175"/>
      <c r="X183" s="175"/>
      <c r="Y183" s="175"/>
      <c r="Z183" s="175"/>
    </row>
    <row r="184" spans="1:26" x14ac:dyDescent="0.25">
      <c r="A184" s="175"/>
      <c r="B184" s="175"/>
      <c r="C184" s="175"/>
      <c r="D184" s="175"/>
      <c r="E184" s="175"/>
      <c r="F184" s="175"/>
      <c r="G184" s="175" t="s">
        <v>652</v>
      </c>
      <c r="H184" s="175" t="s">
        <v>839</v>
      </c>
      <c r="I184" s="175"/>
      <c r="J184" s="175" t="s">
        <v>42</v>
      </c>
      <c r="K184" s="175" t="s">
        <v>644</v>
      </c>
      <c r="L184" s="175">
        <v>1</v>
      </c>
      <c r="M184" s="175" t="s">
        <v>645</v>
      </c>
      <c r="N184" s="181">
        <v>0</v>
      </c>
      <c r="O184" s="181">
        <v>0</v>
      </c>
      <c r="P184" s="181">
        <v>1500</v>
      </c>
      <c r="Q184" s="181">
        <v>1500</v>
      </c>
      <c r="R184" s="175" t="s">
        <v>438</v>
      </c>
      <c r="S184" s="181">
        <v>60</v>
      </c>
      <c r="T184" s="181">
        <v>1440</v>
      </c>
      <c r="U184" s="175" t="s">
        <v>836</v>
      </c>
      <c r="V184" s="175" t="s">
        <v>647</v>
      </c>
      <c r="W184" s="175"/>
      <c r="X184" s="175"/>
      <c r="Y184" s="175"/>
      <c r="Z184" s="175"/>
    </row>
    <row r="185" spans="1:26" x14ac:dyDescent="0.25">
      <c r="A185" s="175"/>
      <c r="B185" s="175"/>
      <c r="C185" s="175"/>
      <c r="D185" s="175"/>
      <c r="E185" s="175"/>
      <c r="F185" s="175"/>
      <c r="G185" s="175" t="s">
        <v>642</v>
      </c>
      <c r="H185" s="175" t="s">
        <v>840</v>
      </c>
      <c r="I185" s="175"/>
      <c r="J185" s="175" t="s">
        <v>42</v>
      </c>
      <c r="K185" s="175" t="s">
        <v>644</v>
      </c>
      <c r="L185" s="175">
        <v>1</v>
      </c>
      <c r="M185" s="175" t="s">
        <v>645</v>
      </c>
      <c r="N185" s="181">
        <v>0</v>
      </c>
      <c r="O185" s="181">
        <v>0</v>
      </c>
      <c r="P185" s="181">
        <v>2500</v>
      </c>
      <c r="Q185" s="181">
        <v>2500</v>
      </c>
      <c r="R185" s="175" t="s">
        <v>438</v>
      </c>
      <c r="S185" s="181">
        <v>75</v>
      </c>
      <c r="T185" s="181">
        <v>2425</v>
      </c>
      <c r="U185" s="175" t="s">
        <v>836</v>
      </c>
      <c r="V185" s="175" t="s">
        <v>647</v>
      </c>
      <c r="W185" s="175"/>
      <c r="X185" s="175"/>
      <c r="Y185" s="175"/>
      <c r="Z185" s="175"/>
    </row>
    <row r="186" spans="1:26" x14ac:dyDescent="0.25">
      <c r="A186" s="175"/>
      <c r="B186" s="175"/>
      <c r="C186" s="175"/>
      <c r="D186" s="175"/>
      <c r="E186" s="175"/>
      <c r="F186" s="175"/>
      <c r="G186" s="175" t="s">
        <v>642</v>
      </c>
      <c r="H186" s="175" t="s">
        <v>841</v>
      </c>
      <c r="I186" s="175"/>
      <c r="J186" s="175" t="s">
        <v>42</v>
      </c>
      <c r="K186" s="175" t="s">
        <v>644</v>
      </c>
      <c r="L186" s="175">
        <v>1</v>
      </c>
      <c r="M186" s="175" t="s">
        <v>645</v>
      </c>
      <c r="N186" s="181">
        <v>0</v>
      </c>
      <c r="O186" s="181">
        <v>0</v>
      </c>
      <c r="P186" s="181">
        <v>1700</v>
      </c>
      <c r="Q186" s="181">
        <v>1700</v>
      </c>
      <c r="R186" s="175" t="s">
        <v>438</v>
      </c>
      <c r="S186" s="181">
        <v>62</v>
      </c>
      <c r="T186" s="181">
        <v>1638</v>
      </c>
      <c r="U186" s="175" t="s">
        <v>836</v>
      </c>
      <c r="V186" s="175" t="s">
        <v>647</v>
      </c>
      <c r="W186" s="175"/>
      <c r="X186" s="175"/>
      <c r="Y186" s="175"/>
      <c r="Z186" s="175"/>
    </row>
    <row r="187" spans="1:26" x14ac:dyDescent="0.25">
      <c r="A187" s="175"/>
      <c r="B187" s="175"/>
      <c r="C187" s="175"/>
      <c r="D187" s="175"/>
      <c r="E187" s="175"/>
      <c r="F187" s="175"/>
      <c r="G187" s="175" t="s">
        <v>642</v>
      </c>
      <c r="H187" s="175" t="s">
        <v>842</v>
      </c>
      <c r="I187" s="175"/>
      <c r="J187" s="175" t="s">
        <v>42</v>
      </c>
      <c r="K187" s="175" t="s">
        <v>644</v>
      </c>
      <c r="L187" s="175">
        <v>1</v>
      </c>
      <c r="M187" s="175" t="s">
        <v>645</v>
      </c>
      <c r="N187" s="181">
        <v>0</v>
      </c>
      <c r="O187" s="181">
        <v>0</v>
      </c>
      <c r="P187" s="181">
        <v>6000</v>
      </c>
      <c r="Q187" s="181">
        <v>6000</v>
      </c>
      <c r="R187" s="175" t="s">
        <v>439</v>
      </c>
      <c r="S187" s="181">
        <v>129</v>
      </c>
      <c r="T187" s="181">
        <v>5871</v>
      </c>
      <c r="U187" s="175" t="s">
        <v>836</v>
      </c>
      <c r="V187" s="175" t="s">
        <v>647</v>
      </c>
      <c r="W187" s="175"/>
      <c r="X187" s="175"/>
      <c r="Y187" s="175"/>
      <c r="Z187" s="175"/>
    </row>
    <row r="188" spans="1:26" x14ac:dyDescent="0.25">
      <c r="A188" s="175"/>
      <c r="B188" s="175"/>
      <c r="C188" s="175"/>
      <c r="D188" s="175"/>
      <c r="E188" s="175"/>
      <c r="F188" s="175"/>
      <c r="G188" s="175" t="s">
        <v>642</v>
      </c>
      <c r="H188" s="175" t="s">
        <v>843</v>
      </c>
      <c r="I188" s="175"/>
      <c r="J188" s="175" t="s">
        <v>42</v>
      </c>
      <c r="K188" s="175" t="s">
        <v>644</v>
      </c>
      <c r="L188" s="175">
        <v>1</v>
      </c>
      <c r="M188" s="175" t="s">
        <v>645</v>
      </c>
      <c r="N188" s="181">
        <v>0</v>
      </c>
      <c r="O188" s="181">
        <v>0</v>
      </c>
      <c r="P188" s="181">
        <v>800</v>
      </c>
      <c r="Q188" s="181">
        <v>800</v>
      </c>
      <c r="R188" s="175" t="s">
        <v>438</v>
      </c>
      <c r="S188" s="181">
        <v>48</v>
      </c>
      <c r="T188" s="181">
        <v>752</v>
      </c>
      <c r="U188" s="175" t="s">
        <v>836</v>
      </c>
      <c r="V188" s="175" t="s">
        <v>647</v>
      </c>
      <c r="W188" s="175"/>
      <c r="X188" s="175"/>
      <c r="Y188" s="175"/>
      <c r="Z188" s="175"/>
    </row>
    <row r="189" spans="1:26" x14ac:dyDescent="0.25">
      <c r="A189" s="175"/>
      <c r="B189" s="175"/>
      <c r="C189" s="175"/>
      <c r="D189" s="175"/>
      <c r="E189" s="175"/>
      <c r="F189" s="175"/>
      <c r="G189" s="175" t="s">
        <v>642</v>
      </c>
      <c r="H189" s="175" t="s">
        <v>844</v>
      </c>
      <c r="I189" s="175"/>
      <c r="J189" s="175" t="s">
        <v>42</v>
      </c>
      <c r="K189" s="175" t="s">
        <v>644</v>
      </c>
      <c r="L189" s="175">
        <v>1</v>
      </c>
      <c r="M189" s="175" t="s">
        <v>645</v>
      </c>
      <c r="N189" s="181">
        <v>0</v>
      </c>
      <c r="O189" s="181">
        <v>0</v>
      </c>
      <c r="P189" s="181">
        <v>1600</v>
      </c>
      <c r="Q189" s="181">
        <v>1600</v>
      </c>
      <c r="R189" s="175" t="s">
        <v>438</v>
      </c>
      <c r="S189" s="181">
        <v>61</v>
      </c>
      <c r="T189" s="181">
        <v>1539</v>
      </c>
      <c r="U189" s="175" t="s">
        <v>836</v>
      </c>
      <c r="V189" s="175" t="s">
        <v>647</v>
      </c>
      <c r="W189" s="175"/>
      <c r="X189" s="175"/>
      <c r="Y189" s="175"/>
      <c r="Z189" s="175"/>
    </row>
    <row r="190" spans="1:26" x14ac:dyDescent="0.25">
      <c r="A190" s="175"/>
      <c r="B190" s="175"/>
      <c r="C190" s="175"/>
      <c r="D190" s="175"/>
      <c r="E190" s="175"/>
      <c r="F190" s="175"/>
      <c r="G190" s="175" t="s">
        <v>642</v>
      </c>
      <c r="H190" s="175" t="s">
        <v>845</v>
      </c>
      <c r="I190" s="175"/>
      <c r="J190" s="175" t="s">
        <v>42</v>
      </c>
      <c r="K190" s="175" t="s">
        <v>644</v>
      </c>
      <c r="L190" s="175">
        <v>1</v>
      </c>
      <c r="M190" s="175" t="s">
        <v>645</v>
      </c>
      <c r="N190" s="181">
        <v>0</v>
      </c>
      <c r="O190" s="181">
        <v>0</v>
      </c>
      <c r="P190" s="181">
        <v>2500</v>
      </c>
      <c r="Q190" s="181">
        <v>2500</v>
      </c>
      <c r="R190" s="175" t="s">
        <v>438</v>
      </c>
      <c r="S190" s="181">
        <v>75</v>
      </c>
      <c r="T190" s="181">
        <v>2425</v>
      </c>
      <c r="U190" s="175" t="s">
        <v>836</v>
      </c>
      <c r="V190" s="175" t="s">
        <v>647</v>
      </c>
      <c r="W190" s="175"/>
      <c r="X190" s="175"/>
      <c r="Y190" s="175"/>
      <c r="Z190" s="175"/>
    </row>
    <row r="191" spans="1:26" x14ac:dyDescent="0.25">
      <c r="A191" s="175"/>
      <c r="B191" s="175"/>
      <c r="C191" s="175"/>
      <c r="D191" s="175"/>
      <c r="E191" s="175"/>
      <c r="F191" s="175"/>
      <c r="G191" s="175" t="s">
        <v>642</v>
      </c>
      <c r="H191" s="175" t="s">
        <v>846</v>
      </c>
      <c r="I191" s="175"/>
      <c r="J191" s="175" t="s">
        <v>42</v>
      </c>
      <c r="K191" s="175" t="s">
        <v>644</v>
      </c>
      <c r="L191" s="175">
        <v>1</v>
      </c>
      <c r="M191" s="175" t="s">
        <v>645</v>
      </c>
      <c r="N191" s="181">
        <v>0</v>
      </c>
      <c r="O191" s="181">
        <v>0</v>
      </c>
      <c r="P191" s="181">
        <v>41000</v>
      </c>
      <c r="Q191" s="181">
        <v>41000</v>
      </c>
      <c r="R191" s="175" t="s">
        <v>439</v>
      </c>
      <c r="S191" s="181">
        <v>670</v>
      </c>
      <c r="T191" s="181">
        <v>40330</v>
      </c>
      <c r="U191" s="175" t="s">
        <v>836</v>
      </c>
      <c r="V191" s="175" t="s">
        <v>647</v>
      </c>
      <c r="W191" s="175"/>
      <c r="X191" s="175"/>
      <c r="Y191" s="175"/>
      <c r="Z191" s="175"/>
    </row>
    <row r="192" spans="1:26" x14ac:dyDescent="0.25">
      <c r="A192" s="175"/>
      <c r="B192" s="175"/>
      <c r="C192" s="175"/>
      <c r="D192" s="175"/>
      <c r="E192" s="175"/>
      <c r="F192" s="175"/>
      <c r="G192" s="175" t="s">
        <v>642</v>
      </c>
      <c r="H192" s="175" t="s">
        <v>847</v>
      </c>
      <c r="I192" s="175"/>
      <c r="J192" s="175" t="s">
        <v>42</v>
      </c>
      <c r="K192" s="175" t="s">
        <v>644</v>
      </c>
      <c r="L192" s="175">
        <v>1</v>
      </c>
      <c r="M192" s="175" t="s">
        <v>645</v>
      </c>
      <c r="N192" s="181">
        <v>0</v>
      </c>
      <c r="O192" s="181">
        <v>0</v>
      </c>
      <c r="P192" s="181">
        <v>8000</v>
      </c>
      <c r="Q192" s="181">
        <v>8000</v>
      </c>
      <c r="R192" s="175" t="s">
        <v>438</v>
      </c>
      <c r="S192" s="181">
        <v>159</v>
      </c>
      <c r="T192" s="181">
        <v>7841</v>
      </c>
      <c r="U192" s="175" t="s">
        <v>848</v>
      </c>
      <c r="V192" s="175" t="s">
        <v>647</v>
      </c>
      <c r="W192" s="175"/>
      <c r="X192" s="175"/>
      <c r="Y192" s="175"/>
      <c r="Z192" s="175"/>
    </row>
    <row r="193" spans="1:26" x14ac:dyDescent="0.25">
      <c r="A193" s="175"/>
      <c r="B193" s="175"/>
      <c r="C193" s="175"/>
      <c r="D193" s="175"/>
      <c r="E193" s="175"/>
      <c r="F193" s="175"/>
      <c r="G193" s="175" t="s">
        <v>642</v>
      </c>
      <c r="H193" s="175" t="s">
        <v>849</v>
      </c>
      <c r="I193" s="175"/>
      <c r="J193" s="175" t="s">
        <v>42</v>
      </c>
      <c r="K193" s="175" t="s">
        <v>644</v>
      </c>
      <c r="L193" s="175">
        <v>1</v>
      </c>
      <c r="M193" s="175" t="s">
        <v>645</v>
      </c>
      <c r="N193" s="181">
        <v>0</v>
      </c>
      <c r="O193" s="181">
        <v>0</v>
      </c>
      <c r="P193" s="181">
        <v>1800</v>
      </c>
      <c r="Q193" s="181">
        <v>1800</v>
      </c>
      <c r="R193" s="175" t="s">
        <v>438</v>
      </c>
      <c r="S193" s="181">
        <v>63</v>
      </c>
      <c r="T193" s="181">
        <v>1737</v>
      </c>
      <c r="U193" s="175" t="s">
        <v>848</v>
      </c>
      <c r="V193" s="175" t="s">
        <v>647</v>
      </c>
      <c r="W193" s="175"/>
      <c r="X193" s="175"/>
      <c r="Y193" s="175"/>
      <c r="Z193" s="175"/>
    </row>
    <row r="194" spans="1:26" x14ac:dyDescent="0.25">
      <c r="A194" s="175"/>
      <c r="B194" s="175"/>
      <c r="C194" s="175"/>
      <c r="D194" s="175"/>
      <c r="E194" s="175"/>
      <c r="F194" s="175"/>
      <c r="G194" s="175" t="s">
        <v>642</v>
      </c>
      <c r="H194" s="175" t="s">
        <v>850</v>
      </c>
      <c r="I194" s="175"/>
      <c r="J194" s="175" t="s">
        <v>42</v>
      </c>
      <c r="K194" s="175" t="s">
        <v>644</v>
      </c>
      <c r="L194" s="175">
        <v>1</v>
      </c>
      <c r="M194" s="175" t="s">
        <v>645</v>
      </c>
      <c r="N194" s="181">
        <v>0</v>
      </c>
      <c r="O194" s="181">
        <v>0</v>
      </c>
      <c r="P194" s="181">
        <v>3200</v>
      </c>
      <c r="Q194" s="181">
        <v>3200</v>
      </c>
      <c r="R194" s="175" t="s">
        <v>438</v>
      </c>
      <c r="S194" s="181">
        <v>86</v>
      </c>
      <c r="T194" s="181">
        <v>3114</v>
      </c>
      <c r="U194" s="175" t="s">
        <v>848</v>
      </c>
      <c r="V194" s="175" t="s">
        <v>647</v>
      </c>
      <c r="W194" s="175"/>
      <c r="X194" s="175"/>
      <c r="Y194" s="175"/>
      <c r="Z194" s="175"/>
    </row>
    <row r="195" spans="1:26" x14ac:dyDescent="0.25">
      <c r="A195" s="175"/>
      <c r="B195" s="175"/>
      <c r="C195" s="175"/>
      <c r="D195" s="175"/>
      <c r="E195" s="175"/>
      <c r="F195" s="175"/>
      <c r="G195" s="175" t="s">
        <v>642</v>
      </c>
      <c r="H195" s="175" t="s">
        <v>851</v>
      </c>
      <c r="I195" s="175"/>
      <c r="J195" s="175" t="s">
        <v>42</v>
      </c>
      <c r="K195" s="175" t="s">
        <v>644</v>
      </c>
      <c r="L195" s="175">
        <v>1</v>
      </c>
      <c r="M195" s="175" t="s">
        <v>645</v>
      </c>
      <c r="N195" s="181">
        <v>0</v>
      </c>
      <c r="O195" s="181">
        <v>0</v>
      </c>
      <c r="P195" s="181">
        <v>800</v>
      </c>
      <c r="Q195" s="181">
        <v>800</v>
      </c>
      <c r="R195" s="175" t="s">
        <v>438</v>
      </c>
      <c r="S195" s="181">
        <v>48</v>
      </c>
      <c r="T195" s="181">
        <v>752</v>
      </c>
      <c r="U195" s="175" t="s">
        <v>848</v>
      </c>
      <c r="V195" s="175" t="s">
        <v>647</v>
      </c>
      <c r="W195" s="175"/>
      <c r="X195" s="175"/>
      <c r="Y195" s="175"/>
      <c r="Z195" s="175"/>
    </row>
    <row r="196" spans="1:26" x14ac:dyDescent="0.25">
      <c r="A196" s="175"/>
      <c r="B196" s="175"/>
      <c r="C196" s="175"/>
      <c r="D196" s="175"/>
      <c r="E196" s="175"/>
      <c r="F196" s="175"/>
      <c r="G196" s="175" t="s">
        <v>652</v>
      </c>
      <c r="H196" s="175" t="s">
        <v>852</v>
      </c>
      <c r="I196" s="175"/>
      <c r="J196" s="175" t="s">
        <v>42</v>
      </c>
      <c r="K196" s="175" t="s">
        <v>644</v>
      </c>
      <c r="L196" s="175">
        <v>1</v>
      </c>
      <c r="M196" s="175" t="s">
        <v>645</v>
      </c>
      <c r="N196" s="181">
        <v>0</v>
      </c>
      <c r="O196" s="181">
        <v>0</v>
      </c>
      <c r="P196" s="181">
        <v>800</v>
      </c>
      <c r="Q196" s="181">
        <v>800</v>
      </c>
      <c r="R196" s="175" t="s">
        <v>438</v>
      </c>
      <c r="S196" s="181">
        <v>48</v>
      </c>
      <c r="T196" s="181">
        <v>752</v>
      </c>
      <c r="U196" s="175" t="s">
        <v>848</v>
      </c>
      <c r="V196" s="175" t="s">
        <v>647</v>
      </c>
      <c r="W196" s="175"/>
      <c r="X196" s="175"/>
      <c r="Y196" s="175"/>
      <c r="Z196" s="175"/>
    </row>
    <row r="197" spans="1:26" x14ac:dyDescent="0.25">
      <c r="A197" s="175"/>
      <c r="B197" s="175"/>
      <c r="C197" s="175"/>
      <c r="D197" s="175"/>
      <c r="E197" s="175"/>
      <c r="F197" s="175"/>
      <c r="G197" s="175" t="s">
        <v>642</v>
      </c>
      <c r="H197" s="175" t="s">
        <v>853</v>
      </c>
      <c r="I197" s="175"/>
      <c r="J197" s="175" t="s">
        <v>42</v>
      </c>
      <c r="K197" s="175" t="s">
        <v>644</v>
      </c>
      <c r="L197" s="175">
        <v>1</v>
      </c>
      <c r="M197" s="175" t="s">
        <v>645</v>
      </c>
      <c r="N197" s="181">
        <v>0</v>
      </c>
      <c r="O197" s="181">
        <v>0</v>
      </c>
      <c r="P197" s="181">
        <v>2500</v>
      </c>
      <c r="Q197" s="181">
        <v>2500</v>
      </c>
      <c r="R197" s="175" t="s">
        <v>438</v>
      </c>
      <c r="S197" s="181">
        <v>75</v>
      </c>
      <c r="T197" s="181">
        <v>2425</v>
      </c>
      <c r="U197" s="175" t="s">
        <v>848</v>
      </c>
      <c r="V197" s="175" t="s">
        <v>647</v>
      </c>
      <c r="W197" s="175"/>
      <c r="X197" s="175"/>
      <c r="Y197" s="175"/>
      <c r="Z197" s="175"/>
    </row>
    <row r="198" spans="1:26" x14ac:dyDescent="0.25">
      <c r="A198" s="175"/>
      <c r="B198" s="175"/>
      <c r="C198" s="175"/>
      <c r="D198" s="175"/>
      <c r="E198" s="175"/>
      <c r="F198" s="175"/>
      <c r="G198" s="175" t="s">
        <v>652</v>
      </c>
      <c r="H198" s="175" t="s">
        <v>854</v>
      </c>
      <c r="I198" s="175"/>
      <c r="J198" s="175" t="s">
        <v>42</v>
      </c>
      <c r="K198" s="175" t="s">
        <v>644</v>
      </c>
      <c r="L198" s="175">
        <v>1</v>
      </c>
      <c r="M198" s="175" t="s">
        <v>645</v>
      </c>
      <c r="N198" s="181">
        <v>0</v>
      </c>
      <c r="O198" s="181">
        <v>0</v>
      </c>
      <c r="P198" s="181">
        <v>43200</v>
      </c>
      <c r="Q198" s="181">
        <v>43200</v>
      </c>
      <c r="R198" s="175" t="s">
        <v>439</v>
      </c>
      <c r="S198" s="181">
        <v>704</v>
      </c>
      <c r="T198" s="181">
        <v>42496</v>
      </c>
      <c r="U198" s="175" t="s">
        <v>848</v>
      </c>
      <c r="V198" s="175" t="s">
        <v>647</v>
      </c>
      <c r="W198" s="175"/>
      <c r="X198" s="175"/>
      <c r="Y198" s="175"/>
      <c r="Z198" s="175"/>
    </row>
    <row r="199" spans="1:26" x14ac:dyDescent="0.25">
      <c r="A199" s="175"/>
      <c r="B199" s="175"/>
      <c r="C199" s="175"/>
      <c r="D199" s="175"/>
      <c r="E199" s="175"/>
      <c r="F199" s="175"/>
      <c r="G199" s="175" t="s">
        <v>652</v>
      </c>
      <c r="H199" s="175" t="s">
        <v>855</v>
      </c>
      <c r="I199" s="175"/>
      <c r="J199" s="175" t="s">
        <v>42</v>
      </c>
      <c r="K199" s="175" t="s">
        <v>644</v>
      </c>
      <c r="L199" s="175">
        <v>1</v>
      </c>
      <c r="M199" s="175" t="s">
        <v>645</v>
      </c>
      <c r="N199" s="181">
        <v>0</v>
      </c>
      <c r="O199" s="181">
        <v>0</v>
      </c>
      <c r="P199" s="181">
        <v>1500</v>
      </c>
      <c r="Q199" s="181">
        <v>1500</v>
      </c>
      <c r="R199" s="175" t="s">
        <v>438</v>
      </c>
      <c r="S199" s="181">
        <v>60</v>
      </c>
      <c r="T199" s="181">
        <v>1440</v>
      </c>
      <c r="U199" s="175" t="s">
        <v>848</v>
      </c>
      <c r="V199" s="175" t="s">
        <v>647</v>
      </c>
      <c r="W199" s="175"/>
      <c r="X199" s="175"/>
      <c r="Y199" s="175"/>
      <c r="Z199" s="175"/>
    </row>
    <row r="200" spans="1:26" x14ac:dyDescent="0.25">
      <c r="A200" s="175"/>
      <c r="B200" s="175"/>
      <c r="C200" s="175"/>
      <c r="D200" s="175"/>
      <c r="E200" s="175"/>
      <c r="F200" s="175"/>
      <c r="G200" s="175" t="s">
        <v>642</v>
      </c>
      <c r="H200" s="175" t="s">
        <v>856</v>
      </c>
      <c r="I200" s="175"/>
      <c r="J200" s="175" t="s">
        <v>42</v>
      </c>
      <c r="K200" s="175" t="s">
        <v>644</v>
      </c>
      <c r="L200" s="175">
        <v>1</v>
      </c>
      <c r="M200" s="175" t="s">
        <v>645</v>
      </c>
      <c r="N200" s="181">
        <v>0</v>
      </c>
      <c r="O200" s="181">
        <v>0</v>
      </c>
      <c r="P200" s="181">
        <v>41000</v>
      </c>
      <c r="Q200" s="181">
        <v>41000</v>
      </c>
      <c r="R200" s="175" t="s">
        <v>439</v>
      </c>
      <c r="S200" s="181">
        <v>670</v>
      </c>
      <c r="T200" s="181">
        <v>40330</v>
      </c>
      <c r="U200" s="175" t="s">
        <v>848</v>
      </c>
      <c r="V200" s="175" t="s">
        <v>647</v>
      </c>
      <c r="W200" s="175"/>
      <c r="X200" s="175"/>
      <c r="Y200" s="175"/>
      <c r="Z200" s="175"/>
    </row>
    <row r="201" spans="1:26" x14ac:dyDescent="0.25">
      <c r="A201" s="175"/>
      <c r="B201" s="175"/>
      <c r="C201" s="175"/>
      <c r="D201" s="175"/>
      <c r="E201" s="175"/>
      <c r="F201" s="175"/>
      <c r="G201" s="175" t="s">
        <v>642</v>
      </c>
      <c r="H201" s="175" t="s">
        <v>857</v>
      </c>
      <c r="I201" s="175"/>
      <c r="J201" s="175" t="s">
        <v>42</v>
      </c>
      <c r="K201" s="175" t="s">
        <v>644</v>
      </c>
      <c r="L201" s="175">
        <v>1</v>
      </c>
      <c r="M201" s="175" t="s">
        <v>645</v>
      </c>
      <c r="N201" s="181">
        <v>0</v>
      </c>
      <c r="O201" s="181">
        <v>0</v>
      </c>
      <c r="P201" s="181">
        <v>2500</v>
      </c>
      <c r="Q201" s="181">
        <v>2500</v>
      </c>
      <c r="R201" s="175" t="s">
        <v>438</v>
      </c>
      <c r="S201" s="181">
        <v>75</v>
      </c>
      <c r="T201" s="181">
        <v>2425</v>
      </c>
      <c r="U201" s="175" t="s">
        <v>848</v>
      </c>
      <c r="V201" s="175" t="s">
        <v>647</v>
      </c>
      <c r="W201" s="175"/>
      <c r="X201" s="175"/>
      <c r="Y201" s="175"/>
      <c r="Z201" s="175"/>
    </row>
    <row r="202" spans="1:26" x14ac:dyDescent="0.25">
      <c r="A202" s="175"/>
      <c r="B202" s="175"/>
      <c r="C202" s="175"/>
      <c r="D202" s="175"/>
      <c r="E202" s="175"/>
      <c r="F202" s="175"/>
      <c r="G202" s="175" t="s">
        <v>642</v>
      </c>
      <c r="H202" s="175" t="s">
        <v>858</v>
      </c>
      <c r="I202" s="175"/>
      <c r="J202" s="175" t="s">
        <v>42</v>
      </c>
      <c r="K202" s="175" t="s">
        <v>644</v>
      </c>
      <c r="L202" s="175">
        <v>1</v>
      </c>
      <c r="M202" s="175" t="s">
        <v>645</v>
      </c>
      <c r="N202" s="181">
        <v>0</v>
      </c>
      <c r="O202" s="181">
        <v>0</v>
      </c>
      <c r="P202" s="181">
        <v>3300</v>
      </c>
      <c r="Q202" s="181">
        <v>3300</v>
      </c>
      <c r="R202" s="175" t="s">
        <v>438</v>
      </c>
      <c r="S202" s="181">
        <v>87</v>
      </c>
      <c r="T202" s="181">
        <v>3213</v>
      </c>
      <c r="U202" s="175" t="s">
        <v>848</v>
      </c>
      <c r="V202" s="175" t="s">
        <v>647</v>
      </c>
      <c r="W202" s="175"/>
      <c r="X202" s="175"/>
      <c r="Y202" s="175"/>
      <c r="Z202" s="175"/>
    </row>
  </sheetData>
  <phoneticPr fontId="33" type="noConversion"/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AA33"/>
  <sheetViews>
    <sheetView showGridLines="0" zoomScale="75" zoomScaleNormal="75" workbookViewId="0">
      <pane ySplit="8" topLeftCell="A9" activePane="bottomLeft" state="frozen"/>
      <selection pane="bottomLeft" activeCell="C15" sqref="C15"/>
    </sheetView>
  </sheetViews>
  <sheetFormatPr baseColWidth="10" defaultColWidth="11.42578125" defaultRowHeight="15" x14ac:dyDescent="0.25"/>
  <cols>
    <col min="1" max="1" width="4.5703125" style="1" bestFit="1" customWidth="1"/>
    <col min="2" max="2" width="9.7109375" style="1" bestFit="1" customWidth="1"/>
    <col min="3" max="3" width="19" style="1" bestFit="1" customWidth="1"/>
    <col min="4" max="4" width="12.28515625" style="1" bestFit="1" customWidth="1"/>
    <col min="5" max="5" width="38.28515625" style="1" customWidth="1"/>
    <col min="6" max="6" width="12.7109375" style="1" bestFit="1" customWidth="1"/>
    <col min="7" max="7" width="11.5703125" style="1" bestFit="1" customWidth="1"/>
    <col min="8" max="8" width="14" style="1" customWidth="1"/>
    <col min="9" max="9" width="17.28515625" style="1" bestFit="1" customWidth="1"/>
    <col min="10" max="10" width="11" style="38" bestFit="1" customWidth="1"/>
    <col min="11" max="11" width="12.140625" style="38" bestFit="1" customWidth="1"/>
    <col min="12" max="12" width="13.7109375" style="38" bestFit="1" customWidth="1"/>
    <col min="13" max="13" width="15.42578125" style="38" customWidth="1"/>
    <col min="14" max="14" width="16" style="38" bestFit="1" customWidth="1"/>
    <col min="15" max="16" width="12.7109375" style="38" bestFit="1" customWidth="1"/>
    <col min="17" max="17" width="11.5703125" style="1" bestFit="1" customWidth="1"/>
    <col min="18" max="18" width="11.7109375" style="1" bestFit="1" customWidth="1"/>
    <col min="19" max="19" width="12.42578125" style="1" customWidth="1"/>
    <col min="20" max="20" width="10.28515625" style="1" customWidth="1"/>
    <col min="21" max="21" width="8.5703125" style="1" bestFit="1" customWidth="1"/>
    <col min="22" max="22" width="12.28515625" style="1" bestFit="1" customWidth="1"/>
    <col min="23" max="23" width="13" style="1" customWidth="1"/>
    <col min="24" max="24" width="18.42578125" style="1" bestFit="1" customWidth="1"/>
    <col min="25" max="25" width="13.7109375" style="1" bestFit="1" customWidth="1"/>
    <col min="26" max="26" width="12.7109375" style="38" bestFit="1" customWidth="1"/>
    <col min="27" max="27" width="11" style="1" bestFit="1" customWidth="1"/>
    <col min="28" max="16384" width="11.42578125" style="1"/>
  </cols>
  <sheetData>
    <row r="6" spans="1:27" x14ac:dyDescent="0.25">
      <c r="B6" s="59">
        <f>+COUNT(B9:B31)</f>
        <v>22</v>
      </c>
      <c r="H6" s="59" t="s">
        <v>250</v>
      </c>
      <c r="J6" s="76">
        <f>SUM(J9:J1048576)</f>
        <v>205578</v>
      </c>
      <c r="K6" s="76">
        <f>SUM(K9:K1048576)</f>
        <v>6726656</v>
      </c>
      <c r="L6" s="76">
        <f>SUM(L9:L1048576)</f>
        <v>1224037</v>
      </c>
      <c r="M6" s="76">
        <f>SUM(M9:M1048576)</f>
        <v>54027</v>
      </c>
      <c r="N6" s="76"/>
      <c r="O6" s="76">
        <f>SUM(O9:O1048576)</f>
        <v>8210298</v>
      </c>
      <c r="R6" s="76">
        <f>SUM(R9:R1048576)</f>
        <v>0</v>
      </c>
      <c r="Y6" s="76"/>
      <c r="Z6" s="76">
        <f>SUM(Z9:Z1048576)</f>
        <v>0</v>
      </c>
    </row>
    <row r="8" spans="1:27" ht="43.5" x14ac:dyDescent="0.25">
      <c r="A8" s="74" t="s">
        <v>303</v>
      </c>
      <c r="B8" s="74" t="s">
        <v>304</v>
      </c>
      <c r="C8" s="74" t="s">
        <v>354</v>
      </c>
      <c r="D8" s="74" t="s">
        <v>355</v>
      </c>
      <c r="E8" s="74" t="s">
        <v>307</v>
      </c>
      <c r="F8" s="74" t="s">
        <v>308</v>
      </c>
      <c r="G8" s="74" t="s">
        <v>309</v>
      </c>
      <c r="H8" s="74" t="s">
        <v>310</v>
      </c>
      <c r="I8" s="74" t="s">
        <v>356</v>
      </c>
      <c r="J8" s="75" t="s">
        <v>241</v>
      </c>
      <c r="K8" s="75" t="s">
        <v>34</v>
      </c>
      <c r="L8" s="75" t="s">
        <v>357</v>
      </c>
      <c r="M8" s="75" t="s">
        <v>358</v>
      </c>
      <c r="N8" s="75" t="s">
        <v>359</v>
      </c>
      <c r="O8" s="75" t="s">
        <v>245</v>
      </c>
      <c r="P8" s="75" t="s">
        <v>360</v>
      </c>
      <c r="Q8" s="74" t="s">
        <v>361</v>
      </c>
      <c r="R8" s="74" t="s">
        <v>362</v>
      </c>
      <c r="S8" s="74" t="s">
        <v>363</v>
      </c>
      <c r="T8" s="74" t="s">
        <v>364</v>
      </c>
      <c r="U8" s="74" t="s">
        <v>365</v>
      </c>
      <c r="V8" s="74" t="s">
        <v>366</v>
      </c>
      <c r="W8" s="74" t="s">
        <v>367</v>
      </c>
      <c r="X8" s="74" t="s">
        <v>339</v>
      </c>
      <c r="Y8" s="74" t="s">
        <v>368</v>
      </c>
      <c r="Z8" s="75" t="s">
        <v>369</v>
      </c>
      <c r="AA8" s="74" t="s">
        <v>370</v>
      </c>
    </row>
    <row r="9" spans="1:27" x14ac:dyDescent="0.25">
      <c r="A9" s="1">
        <v>1</v>
      </c>
      <c r="B9" s="1">
        <v>33</v>
      </c>
      <c r="C9" s="1" t="s">
        <v>247</v>
      </c>
      <c r="D9" s="1" t="s">
        <v>953</v>
      </c>
      <c r="E9" s="1" t="s">
        <v>983</v>
      </c>
      <c r="F9" s="1">
        <v>85203332</v>
      </c>
      <c r="G9" s="36">
        <v>45476</v>
      </c>
      <c r="H9" s="36">
        <v>45475.824305555558</v>
      </c>
      <c r="I9" s="37"/>
      <c r="J9" s="38">
        <v>0</v>
      </c>
      <c r="K9" s="38">
        <v>169421</v>
      </c>
      <c r="L9" s="38">
        <v>32190</v>
      </c>
      <c r="O9" s="38">
        <v>201611</v>
      </c>
      <c r="R9" s="38"/>
      <c r="T9" s="1">
        <v>0</v>
      </c>
      <c r="X9" s="1">
        <v>0</v>
      </c>
    </row>
    <row r="10" spans="1:27" x14ac:dyDescent="0.25">
      <c r="A10" s="1">
        <v>2</v>
      </c>
      <c r="B10" s="1">
        <v>33</v>
      </c>
      <c r="C10" s="1" t="s">
        <v>247</v>
      </c>
      <c r="D10" s="1" t="s">
        <v>953</v>
      </c>
      <c r="E10" s="1" t="s">
        <v>983</v>
      </c>
      <c r="F10" s="1">
        <v>27879168</v>
      </c>
      <c r="G10" s="36">
        <v>45475</v>
      </c>
      <c r="H10" s="36">
        <v>45475.692361111112</v>
      </c>
      <c r="I10" s="37"/>
      <c r="J10" s="38">
        <v>0</v>
      </c>
      <c r="K10" s="38">
        <v>12992</v>
      </c>
      <c r="L10" s="38">
        <v>2468</v>
      </c>
      <c r="O10" s="38">
        <v>15460</v>
      </c>
      <c r="R10" s="38"/>
      <c r="T10" s="1">
        <v>0</v>
      </c>
      <c r="X10" s="1">
        <v>0</v>
      </c>
    </row>
    <row r="11" spans="1:27" x14ac:dyDescent="0.25">
      <c r="A11" s="1">
        <v>3</v>
      </c>
      <c r="B11" s="1">
        <v>33</v>
      </c>
      <c r="C11" s="1" t="s">
        <v>247</v>
      </c>
      <c r="D11" s="1" t="s">
        <v>953</v>
      </c>
      <c r="E11" s="1" t="s">
        <v>983</v>
      </c>
      <c r="F11" s="1">
        <v>9810</v>
      </c>
      <c r="G11" s="36">
        <v>45499</v>
      </c>
      <c r="H11" s="36">
        <v>45499.523611111108</v>
      </c>
      <c r="I11" s="37"/>
      <c r="J11" s="38">
        <v>0</v>
      </c>
      <c r="K11" s="38">
        <v>151090</v>
      </c>
      <c r="L11" s="38">
        <v>28707</v>
      </c>
      <c r="O11" s="38">
        <v>179797</v>
      </c>
      <c r="R11" s="38"/>
      <c r="T11" s="1">
        <v>0</v>
      </c>
      <c r="X11" s="1">
        <v>0</v>
      </c>
    </row>
    <row r="12" spans="1:27" x14ac:dyDescent="0.25">
      <c r="A12" s="1">
        <v>4</v>
      </c>
      <c r="B12" s="1">
        <v>33</v>
      </c>
      <c r="C12" s="1" t="s">
        <v>247</v>
      </c>
      <c r="D12" s="1" t="s">
        <v>953</v>
      </c>
      <c r="E12" s="1" t="s">
        <v>983</v>
      </c>
      <c r="F12" s="1">
        <v>85572352</v>
      </c>
      <c r="G12" s="36">
        <v>45500</v>
      </c>
      <c r="H12" s="36">
        <v>45499.751388888886</v>
      </c>
      <c r="I12" s="37">
        <v>45504.352083333331</v>
      </c>
      <c r="J12" s="38">
        <v>0</v>
      </c>
      <c r="K12" s="38">
        <v>57174</v>
      </c>
      <c r="L12" s="38">
        <v>10863</v>
      </c>
      <c r="O12" s="38">
        <v>68037</v>
      </c>
      <c r="R12" s="38"/>
      <c r="T12" s="1">
        <v>0</v>
      </c>
      <c r="X12" s="1">
        <v>0</v>
      </c>
    </row>
    <row r="13" spans="1:27" x14ac:dyDescent="0.25">
      <c r="A13" s="1">
        <v>5</v>
      </c>
      <c r="B13" s="1">
        <v>33</v>
      </c>
      <c r="C13" s="1" t="s">
        <v>247</v>
      </c>
      <c r="D13" s="1" t="s">
        <v>953</v>
      </c>
      <c r="E13" s="1" t="s">
        <v>983</v>
      </c>
      <c r="F13" s="1">
        <v>85583512</v>
      </c>
      <c r="G13" s="36">
        <v>45502</v>
      </c>
      <c r="H13" s="36">
        <v>45500.459027777775</v>
      </c>
      <c r="I13" s="37">
        <v>45504.352083333331</v>
      </c>
      <c r="J13" s="38">
        <v>0</v>
      </c>
      <c r="K13" s="38">
        <v>57174</v>
      </c>
      <c r="L13" s="38">
        <v>10863</v>
      </c>
      <c r="O13" s="38">
        <v>68037</v>
      </c>
      <c r="R13" s="38"/>
      <c r="T13" s="1">
        <v>0</v>
      </c>
      <c r="X13" s="1">
        <v>0</v>
      </c>
    </row>
    <row r="14" spans="1:27" x14ac:dyDescent="0.25">
      <c r="A14" s="1">
        <v>6</v>
      </c>
      <c r="B14" s="1">
        <v>33</v>
      </c>
      <c r="C14" s="1" t="s">
        <v>77</v>
      </c>
      <c r="D14" s="1" t="s">
        <v>953</v>
      </c>
      <c r="E14" s="1" t="s">
        <v>983</v>
      </c>
      <c r="F14" s="1">
        <v>2951384</v>
      </c>
      <c r="G14" s="36">
        <v>45504</v>
      </c>
      <c r="H14" s="36">
        <v>45504.931250000001</v>
      </c>
      <c r="I14" s="37"/>
      <c r="J14" s="38">
        <v>0</v>
      </c>
      <c r="K14" s="38">
        <v>56075</v>
      </c>
      <c r="M14" s="38">
        <v>10654</v>
      </c>
      <c r="N14" s="38">
        <v>9</v>
      </c>
      <c r="O14" s="38">
        <v>66729</v>
      </c>
      <c r="T14" s="1">
        <v>0</v>
      </c>
      <c r="X14" s="1">
        <v>0</v>
      </c>
    </row>
    <row r="15" spans="1:27" x14ac:dyDescent="0.25">
      <c r="A15" s="1">
        <v>7</v>
      </c>
      <c r="B15" s="1">
        <v>33</v>
      </c>
      <c r="C15" s="1" t="s">
        <v>77</v>
      </c>
      <c r="D15" s="1" t="s">
        <v>953</v>
      </c>
      <c r="E15" s="1" t="s">
        <v>983</v>
      </c>
      <c r="F15" s="1">
        <v>48437331</v>
      </c>
      <c r="G15" s="36">
        <v>45502</v>
      </c>
      <c r="H15" s="36">
        <v>45503.135416666664</v>
      </c>
      <c r="I15" s="37"/>
      <c r="J15" s="38">
        <v>0</v>
      </c>
      <c r="K15" s="38">
        <v>15468</v>
      </c>
      <c r="M15" s="38">
        <v>2939</v>
      </c>
      <c r="N15" s="38">
        <v>9</v>
      </c>
      <c r="O15" s="38">
        <v>18407</v>
      </c>
      <c r="T15" s="1">
        <v>0</v>
      </c>
      <c r="X15" s="1">
        <v>0</v>
      </c>
    </row>
    <row r="16" spans="1:27" x14ac:dyDescent="0.25">
      <c r="A16" s="1">
        <v>8</v>
      </c>
      <c r="B16" s="1">
        <v>33</v>
      </c>
      <c r="C16" s="1" t="s">
        <v>77</v>
      </c>
      <c r="D16" s="1" t="s">
        <v>953</v>
      </c>
      <c r="E16" s="1" t="s">
        <v>983</v>
      </c>
      <c r="F16" s="1">
        <v>19739</v>
      </c>
      <c r="G16" s="36">
        <v>45475</v>
      </c>
      <c r="H16" s="36">
        <v>45475.432638888888</v>
      </c>
      <c r="I16" s="37"/>
      <c r="J16" s="38">
        <v>0</v>
      </c>
      <c r="K16" s="38">
        <v>157855</v>
      </c>
      <c r="M16" s="38">
        <v>29992</v>
      </c>
      <c r="N16" s="38">
        <v>9</v>
      </c>
      <c r="O16" s="38">
        <v>187847</v>
      </c>
      <c r="T16" s="1">
        <v>0</v>
      </c>
      <c r="X16" s="1">
        <v>0</v>
      </c>
    </row>
    <row r="17" spans="1:24" x14ac:dyDescent="0.25">
      <c r="A17" s="1">
        <v>9</v>
      </c>
      <c r="B17" s="1">
        <v>33</v>
      </c>
      <c r="C17" s="1" t="s">
        <v>77</v>
      </c>
      <c r="D17" s="1" t="s">
        <v>953</v>
      </c>
      <c r="E17" s="1" t="s">
        <v>983</v>
      </c>
      <c r="F17" s="1">
        <v>11539</v>
      </c>
      <c r="G17" s="36">
        <v>45484</v>
      </c>
      <c r="H17" s="36">
        <v>45484.743750000001</v>
      </c>
      <c r="I17" s="37"/>
      <c r="J17" s="38">
        <v>0</v>
      </c>
      <c r="K17" s="38">
        <v>7141</v>
      </c>
      <c r="M17" s="38">
        <v>1357</v>
      </c>
      <c r="N17" s="38">
        <v>9</v>
      </c>
      <c r="O17" s="38">
        <v>8498</v>
      </c>
      <c r="T17" s="1">
        <v>0</v>
      </c>
      <c r="X17" s="1">
        <v>0</v>
      </c>
    </row>
    <row r="18" spans="1:24" x14ac:dyDescent="0.25">
      <c r="A18" s="1">
        <v>10</v>
      </c>
      <c r="B18" s="1">
        <v>33</v>
      </c>
      <c r="C18" s="1" t="s">
        <v>88</v>
      </c>
      <c r="D18" s="1" t="s">
        <v>953</v>
      </c>
      <c r="E18" s="1" t="s">
        <v>983</v>
      </c>
      <c r="F18" s="1">
        <v>19988</v>
      </c>
      <c r="G18" s="36">
        <v>45502</v>
      </c>
      <c r="H18" s="36">
        <v>45502.459027777775</v>
      </c>
      <c r="I18" s="37"/>
      <c r="J18" s="38">
        <v>0</v>
      </c>
      <c r="K18" s="38">
        <v>47815</v>
      </c>
      <c r="M18" s="38">
        <v>9085</v>
      </c>
      <c r="N18" s="38">
        <v>9</v>
      </c>
      <c r="O18" s="38">
        <v>56900</v>
      </c>
      <c r="T18" s="1">
        <v>0</v>
      </c>
      <c r="X18" s="1">
        <v>0</v>
      </c>
    </row>
    <row r="19" spans="1:24" x14ac:dyDescent="0.25">
      <c r="A19" s="1">
        <v>11</v>
      </c>
      <c r="B19" s="1">
        <v>33</v>
      </c>
      <c r="C19" s="1" t="s">
        <v>247</v>
      </c>
      <c r="D19" s="1" t="s">
        <v>953</v>
      </c>
      <c r="E19" s="1" t="s">
        <v>983</v>
      </c>
      <c r="F19" s="1">
        <v>29665</v>
      </c>
      <c r="G19" s="36">
        <v>45468</v>
      </c>
      <c r="H19" s="36">
        <v>45468.401388888888</v>
      </c>
      <c r="I19" s="37">
        <v>45473.980560000004</v>
      </c>
      <c r="J19" s="38">
        <v>0</v>
      </c>
      <c r="K19" s="38">
        <v>465538</v>
      </c>
      <c r="L19" s="38">
        <v>88452</v>
      </c>
      <c r="O19" s="38">
        <v>553990</v>
      </c>
    </row>
    <row r="20" spans="1:24" x14ac:dyDescent="0.25">
      <c r="A20" s="1">
        <v>12</v>
      </c>
      <c r="B20" s="1">
        <v>61</v>
      </c>
      <c r="C20" s="1" t="s">
        <v>247</v>
      </c>
      <c r="D20" s="1" t="s">
        <v>953</v>
      </c>
      <c r="E20" s="1" t="s">
        <v>983</v>
      </c>
      <c r="F20" s="1">
        <v>2276</v>
      </c>
      <c r="G20" s="36">
        <v>45475</v>
      </c>
      <c r="H20" s="36">
        <v>45478.379861111112</v>
      </c>
      <c r="I20" s="37"/>
      <c r="J20" s="38">
        <v>0</v>
      </c>
      <c r="K20" s="38">
        <v>-465538</v>
      </c>
      <c r="L20" s="38">
        <v>-88452</v>
      </c>
      <c r="O20" s="38">
        <v>-553990</v>
      </c>
    </row>
    <row r="21" spans="1:24" x14ac:dyDescent="0.25">
      <c r="A21" s="1">
        <v>13</v>
      </c>
      <c r="B21" s="1">
        <v>34</v>
      </c>
      <c r="C21" s="1" t="s">
        <v>247</v>
      </c>
      <c r="D21" s="1" t="s">
        <v>953</v>
      </c>
      <c r="E21" s="1" t="s">
        <v>983</v>
      </c>
      <c r="F21" s="1">
        <v>16576</v>
      </c>
      <c r="G21" s="36">
        <v>45411</v>
      </c>
      <c r="H21" s="36">
        <v>45412.386805555558</v>
      </c>
      <c r="I21" s="37"/>
      <c r="J21" s="38">
        <v>205578</v>
      </c>
      <c r="K21" s="38">
        <v>0</v>
      </c>
      <c r="L21" s="38">
        <v>0</v>
      </c>
      <c r="O21" s="38">
        <v>205578</v>
      </c>
    </row>
    <row r="22" spans="1:24" x14ac:dyDescent="0.25">
      <c r="A22" s="1">
        <v>14</v>
      </c>
      <c r="B22" s="1">
        <v>56</v>
      </c>
      <c r="C22" s="1" t="s">
        <v>247</v>
      </c>
      <c r="D22" s="1" t="s">
        <v>953</v>
      </c>
      <c r="E22" s="1" t="s">
        <v>983</v>
      </c>
      <c r="F22" s="1">
        <v>34607</v>
      </c>
      <c r="G22" s="36">
        <v>45441</v>
      </c>
      <c r="H22" s="36">
        <v>45442.520833333336</v>
      </c>
      <c r="I22" s="37"/>
      <c r="J22" s="38">
        <v>0</v>
      </c>
      <c r="K22" s="38">
        <v>504</v>
      </c>
      <c r="L22" s="38">
        <v>96</v>
      </c>
      <c r="O22" s="38">
        <v>600</v>
      </c>
    </row>
    <row r="23" spans="1:24" x14ac:dyDescent="0.25">
      <c r="A23" s="1">
        <v>15</v>
      </c>
      <c r="B23" s="1">
        <v>914</v>
      </c>
      <c r="C23" s="1" t="s">
        <v>247</v>
      </c>
      <c r="D23" s="1" t="s">
        <v>953</v>
      </c>
      <c r="E23" s="1" t="s">
        <v>954</v>
      </c>
      <c r="F23" s="1">
        <v>40171210</v>
      </c>
      <c r="G23" s="36">
        <v>45474</v>
      </c>
      <c r="H23" s="36">
        <v>45474</v>
      </c>
      <c r="I23" s="37"/>
      <c r="K23" s="38">
        <v>357917</v>
      </c>
      <c r="L23" s="38">
        <v>68004</v>
      </c>
      <c r="O23" s="38">
        <v>425921</v>
      </c>
    </row>
    <row r="24" spans="1:24" x14ac:dyDescent="0.25">
      <c r="A24" s="1">
        <v>16</v>
      </c>
      <c r="B24" s="1">
        <v>914</v>
      </c>
      <c r="C24" s="1" t="s">
        <v>247</v>
      </c>
      <c r="D24" s="1" t="s">
        <v>953</v>
      </c>
      <c r="E24" s="1" t="s">
        <v>954</v>
      </c>
      <c r="F24" s="1">
        <v>40171347</v>
      </c>
      <c r="G24" s="36">
        <v>45474</v>
      </c>
      <c r="H24" s="36">
        <v>45474</v>
      </c>
      <c r="I24" s="37"/>
      <c r="K24" s="38">
        <v>332196</v>
      </c>
      <c r="L24" s="38">
        <v>63117</v>
      </c>
      <c r="O24" s="38">
        <v>395313</v>
      </c>
    </row>
    <row r="25" spans="1:24" x14ac:dyDescent="0.25">
      <c r="A25" s="1">
        <v>17</v>
      </c>
      <c r="B25" s="1">
        <v>914</v>
      </c>
      <c r="C25" s="1" t="s">
        <v>247</v>
      </c>
      <c r="D25" s="1" t="s">
        <v>953</v>
      </c>
      <c r="E25" s="1" t="s">
        <v>954</v>
      </c>
      <c r="F25" s="1">
        <v>40171537</v>
      </c>
      <c r="G25" s="36">
        <v>45474</v>
      </c>
      <c r="H25" s="36">
        <v>45474</v>
      </c>
      <c r="I25" s="37"/>
      <c r="K25" s="38">
        <v>130629</v>
      </c>
      <c r="L25" s="38">
        <v>24820</v>
      </c>
      <c r="O25" s="38">
        <v>155449</v>
      </c>
    </row>
    <row r="26" spans="1:24" x14ac:dyDescent="0.25">
      <c r="A26" s="1">
        <v>18</v>
      </c>
      <c r="B26" s="1">
        <v>914</v>
      </c>
      <c r="C26" s="1" t="s">
        <v>247</v>
      </c>
      <c r="D26" s="1" t="s">
        <v>953</v>
      </c>
      <c r="E26" s="1" t="s">
        <v>954</v>
      </c>
      <c r="F26" s="1">
        <v>40171768</v>
      </c>
      <c r="G26" s="36">
        <v>45474</v>
      </c>
      <c r="H26" s="36">
        <v>45474</v>
      </c>
      <c r="I26" s="37"/>
      <c r="K26" s="38">
        <v>52627</v>
      </c>
      <c r="L26" s="38">
        <v>9999</v>
      </c>
      <c r="O26" s="38">
        <v>62626</v>
      </c>
    </row>
    <row r="27" spans="1:24" x14ac:dyDescent="0.25">
      <c r="A27" s="1">
        <v>19</v>
      </c>
      <c r="B27" s="1">
        <v>914</v>
      </c>
      <c r="C27" s="1" t="s">
        <v>247</v>
      </c>
      <c r="D27" s="1" t="s">
        <v>953</v>
      </c>
      <c r="E27" s="1" t="s">
        <v>954</v>
      </c>
      <c r="F27" s="1">
        <v>40171933</v>
      </c>
      <c r="G27" s="36">
        <v>45474</v>
      </c>
      <c r="H27" s="36">
        <v>45474</v>
      </c>
      <c r="I27" s="37"/>
      <c r="K27" s="38">
        <v>909394</v>
      </c>
      <c r="L27" s="38">
        <v>172785</v>
      </c>
      <c r="O27" s="38">
        <v>1082179</v>
      </c>
    </row>
    <row r="28" spans="1:24" x14ac:dyDescent="0.25">
      <c r="A28" s="1">
        <v>20</v>
      </c>
      <c r="B28" s="1">
        <v>914</v>
      </c>
      <c r="C28" s="1" t="s">
        <v>247</v>
      </c>
      <c r="D28" s="1" t="s">
        <v>953</v>
      </c>
      <c r="E28" s="1" t="s">
        <v>954</v>
      </c>
      <c r="F28" s="1">
        <v>800214877</v>
      </c>
      <c r="G28" s="36">
        <v>45474</v>
      </c>
      <c r="H28" s="36">
        <v>45474</v>
      </c>
      <c r="I28" s="37"/>
      <c r="K28" s="38">
        <v>377421</v>
      </c>
      <c r="L28" s="38">
        <v>71710</v>
      </c>
      <c r="O28" s="38">
        <v>449131</v>
      </c>
    </row>
    <row r="29" spans="1:24" x14ac:dyDescent="0.25">
      <c r="A29" s="1">
        <v>21</v>
      </c>
      <c r="B29" s="1">
        <v>914</v>
      </c>
      <c r="C29" s="1" t="s">
        <v>247</v>
      </c>
      <c r="D29" s="1" t="s">
        <v>953</v>
      </c>
      <c r="E29" s="1" t="s">
        <v>954</v>
      </c>
      <c r="F29" s="1">
        <v>800217938</v>
      </c>
      <c r="G29" s="36">
        <v>45474</v>
      </c>
      <c r="H29" s="36">
        <v>45474</v>
      </c>
      <c r="I29" s="37"/>
      <c r="K29" s="38">
        <v>151834</v>
      </c>
      <c r="L29" s="38">
        <v>28848</v>
      </c>
      <c r="O29" s="38">
        <v>180682</v>
      </c>
    </row>
    <row r="30" spans="1:24" x14ac:dyDescent="0.25">
      <c r="A30" s="1">
        <v>22</v>
      </c>
      <c r="B30" s="1">
        <v>914</v>
      </c>
      <c r="C30" s="1" t="s">
        <v>959</v>
      </c>
      <c r="D30" s="1" t="s">
        <v>953</v>
      </c>
      <c r="E30" s="1" t="s">
        <v>954</v>
      </c>
      <c r="F30" s="1">
        <v>2810015626</v>
      </c>
      <c r="G30" s="36">
        <v>45474</v>
      </c>
      <c r="H30" s="36">
        <v>45474</v>
      </c>
      <c r="I30" s="37"/>
      <c r="K30" s="38">
        <v>3681929</v>
      </c>
      <c r="L30" s="38">
        <v>699567</v>
      </c>
      <c r="O30" s="38">
        <v>4381496</v>
      </c>
      <c r="Q30" s="38">
        <v>699567</v>
      </c>
    </row>
    <row r="31" spans="1:24" x14ac:dyDescent="0.25">
      <c r="G31" s="36"/>
      <c r="H31" s="36"/>
      <c r="I31" s="37"/>
    </row>
    <row r="32" spans="1:24" x14ac:dyDescent="0.25">
      <c r="G32" s="36"/>
      <c r="H32" s="36"/>
      <c r="I32" s="37"/>
    </row>
    <row r="33" spans="7:9" x14ac:dyDescent="0.25">
      <c r="G33" s="36"/>
      <c r="H33" s="36"/>
      <c r="I33" s="37"/>
    </row>
  </sheetData>
  <autoFilter ref="A8:AA12" xr:uid="{00000000-0009-0000-0000-000006000000}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K18"/>
  <sheetViews>
    <sheetView showGridLines="0" zoomScale="75" zoomScaleNormal="75" workbookViewId="0">
      <pane ySplit="9" topLeftCell="A10" activePane="bottomLeft" state="frozen"/>
      <selection pane="bottomLeft" activeCell="E11" sqref="E11"/>
    </sheetView>
  </sheetViews>
  <sheetFormatPr baseColWidth="10" defaultColWidth="45.42578125" defaultRowHeight="15" x14ac:dyDescent="0.25"/>
  <cols>
    <col min="1" max="1" width="7" style="1" bestFit="1" customWidth="1"/>
    <col min="2" max="2" width="11.5703125" style="36" bestFit="1" customWidth="1"/>
    <col min="3" max="3" width="8.5703125" style="1" bestFit="1" customWidth="1"/>
    <col min="4" max="4" width="11.5703125" style="1" bestFit="1" customWidth="1"/>
    <col min="5" max="5" width="11.140625" style="1" bestFit="1" customWidth="1"/>
    <col min="6" max="6" width="40.85546875" style="1" bestFit="1" customWidth="1"/>
    <col min="7" max="7" width="10.5703125" style="1" bestFit="1" customWidth="1"/>
    <col min="8" max="8" width="8.7109375" style="1" bestFit="1" customWidth="1"/>
    <col min="9" max="9" width="10.28515625" style="1" bestFit="1" customWidth="1"/>
    <col min="10" max="10" width="8.28515625" style="1" bestFit="1" customWidth="1"/>
    <col min="11" max="11" width="10.42578125" style="1" bestFit="1" customWidth="1"/>
    <col min="12" max="12" width="7.5703125" style="1" customWidth="1"/>
    <col min="13" max="16384" width="45.42578125" style="1"/>
  </cols>
  <sheetData>
    <row r="6" spans="1:11" ht="20.25" x14ac:dyDescent="0.25">
      <c r="A6" s="575" t="s">
        <v>255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</row>
    <row r="7" spans="1:11" x14ac:dyDescent="0.25">
      <c r="A7" s="81"/>
      <c r="B7" s="111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572" t="s">
        <v>371</v>
      </c>
      <c r="B8" s="573"/>
      <c r="C8" s="573"/>
      <c r="D8" s="574"/>
      <c r="E8" s="572" t="s">
        <v>372</v>
      </c>
      <c r="F8" s="573"/>
      <c r="G8" s="574"/>
      <c r="H8" s="572" t="s">
        <v>373</v>
      </c>
      <c r="I8" s="573"/>
      <c r="J8" s="574"/>
      <c r="K8" s="73" t="s">
        <v>374</v>
      </c>
    </row>
    <row r="9" spans="1:11" ht="28.5" x14ac:dyDescent="0.25">
      <c r="A9" s="73" t="s">
        <v>375</v>
      </c>
      <c r="B9" s="110" t="s">
        <v>376</v>
      </c>
      <c r="C9" s="73" t="s">
        <v>377</v>
      </c>
      <c r="D9" s="73" t="s">
        <v>378</v>
      </c>
      <c r="E9" s="73" t="s">
        <v>379</v>
      </c>
      <c r="F9" s="73" t="s">
        <v>380</v>
      </c>
      <c r="G9" s="73" t="s">
        <v>381</v>
      </c>
      <c r="H9" s="73" t="s">
        <v>382</v>
      </c>
      <c r="I9" s="73" t="s">
        <v>383</v>
      </c>
      <c r="J9" s="73" t="s">
        <v>384</v>
      </c>
      <c r="K9" s="73" t="s">
        <v>371</v>
      </c>
    </row>
    <row r="10" spans="1:11" x14ac:dyDescent="0.25">
      <c r="A10" s="40">
        <v>44</v>
      </c>
      <c r="B10" s="41">
        <v>45504</v>
      </c>
      <c r="C10" s="85" t="s">
        <v>956</v>
      </c>
      <c r="D10" s="41"/>
      <c r="E10" s="40"/>
      <c r="F10" s="40" t="s">
        <v>981</v>
      </c>
      <c r="G10" s="42" t="s">
        <v>957</v>
      </c>
      <c r="H10" s="43">
        <v>243768</v>
      </c>
      <c r="I10" s="43">
        <v>40831.14</v>
      </c>
      <c r="J10" s="43">
        <v>202936.86</v>
      </c>
      <c r="K10" s="42"/>
    </row>
    <row r="11" spans="1:11" x14ac:dyDescent="0.25">
      <c r="A11" s="40">
        <v>57</v>
      </c>
      <c r="B11" s="41">
        <v>45504</v>
      </c>
      <c r="C11" s="85" t="s">
        <v>956</v>
      </c>
      <c r="D11" s="41"/>
      <c r="E11" s="40"/>
      <c r="F11" s="40" t="s">
        <v>982</v>
      </c>
      <c r="G11" s="42" t="s">
        <v>957</v>
      </c>
      <c r="H11" s="43">
        <v>653623</v>
      </c>
      <c r="I11" s="43">
        <v>89873</v>
      </c>
      <c r="J11" s="43">
        <v>563750</v>
      </c>
      <c r="K11" s="42"/>
    </row>
    <row r="12" spans="1:11" x14ac:dyDescent="0.25">
      <c r="A12" s="40"/>
      <c r="B12" s="41"/>
      <c r="C12" s="85"/>
      <c r="D12" s="41"/>
      <c r="E12" s="40"/>
      <c r="F12" s="40"/>
      <c r="G12" s="42"/>
      <c r="H12" s="43"/>
      <c r="I12" s="43"/>
      <c r="J12" s="43"/>
      <c r="K12" s="42"/>
    </row>
    <row r="13" spans="1:11" x14ac:dyDescent="0.25">
      <c r="A13" s="40"/>
      <c r="B13" s="41"/>
      <c r="C13" s="85"/>
      <c r="D13" s="41"/>
      <c r="E13" s="40"/>
      <c r="F13" s="40"/>
      <c r="G13" s="42"/>
      <c r="H13" s="43"/>
      <c r="I13" s="43"/>
      <c r="J13" s="43"/>
      <c r="K13" s="42"/>
    </row>
    <row r="14" spans="1:11" x14ac:dyDescent="0.25">
      <c r="A14" s="40"/>
      <c r="B14" s="41"/>
      <c r="C14" s="85"/>
      <c r="D14" s="41"/>
      <c r="E14" s="40"/>
      <c r="F14" s="40"/>
      <c r="G14" s="42"/>
      <c r="H14" s="43"/>
      <c r="I14" s="43"/>
      <c r="J14" s="43"/>
      <c r="K14" s="42"/>
    </row>
    <row r="15" spans="1:11" x14ac:dyDescent="0.25">
      <c r="A15" s="40"/>
      <c r="B15" s="41"/>
      <c r="C15" s="85"/>
      <c r="D15" s="41"/>
      <c r="E15" s="40"/>
      <c r="F15" s="40"/>
      <c r="G15" s="42"/>
      <c r="H15" s="43"/>
      <c r="I15" s="43"/>
      <c r="J15" s="43"/>
      <c r="K15" s="42"/>
    </row>
    <row r="16" spans="1:11" x14ac:dyDescent="0.25">
      <c r="A16" s="40"/>
      <c r="B16" s="41"/>
      <c r="C16" s="39"/>
      <c r="D16" s="41"/>
      <c r="E16" s="40"/>
      <c r="F16" s="40"/>
      <c r="G16" s="42"/>
      <c r="H16" s="43"/>
      <c r="I16" s="43"/>
      <c r="J16" s="43"/>
      <c r="K16" s="42"/>
    </row>
    <row r="18" spans="6:10" x14ac:dyDescent="0.25">
      <c r="F18" s="163" t="s">
        <v>250</v>
      </c>
      <c r="G18" s="163"/>
      <c r="H18" s="164">
        <f>SUM(H10:H17)</f>
        <v>897391</v>
      </c>
      <c r="I18" s="164">
        <f t="shared" ref="I18:J18" si="0">SUM(I10:I17)</f>
        <v>130704.14</v>
      </c>
      <c r="J18" s="164">
        <f t="shared" si="0"/>
        <v>766686.86</v>
      </c>
    </row>
  </sheetData>
  <mergeCells count="4">
    <mergeCell ref="A8:D8"/>
    <mergeCell ref="E8:G8"/>
    <mergeCell ref="H8:J8"/>
    <mergeCell ref="A6:K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9</vt:i4>
      </vt:variant>
    </vt:vector>
  </HeadingPairs>
  <TitlesOfParts>
    <vt:vector size="29" baseType="lpstr">
      <vt:lpstr>Portada</vt:lpstr>
      <vt:lpstr>Indice</vt:lpstr>
      <vt:lpstr>Multas</vt:lpstr>
      <vt:lpstr>F-29</vt:lpstr>
      <vt:lpstr>Resumen</vt:lpstr>
      <vt:lpstr>LV SII</vt:lpstr>
      <vt:lpstr>Comp</vt:lpstr>
      <vt:lpstr>LC SII</vt:lpstr>
      <vt:lpstr>LH SII</vt:lpstr>
      <vt:lpstr>RCF-PPM</vt:lpstr>
      <vt:lpstr>Ej.1 DIN</vt:lpstr>
      <vt:lpstr>Eje 1 F-29</vt:lpstr>
      <vt:lpstr>Ej.2 IVA Comun 23 N°3</vt:lpstr>
      <vt:lpstr>Eje 2 F-29</vt:lpstr>
      <vt:lpstr>Ej.3 IVA Simp Art.29</vt:lpstr>
      <vt:lpstr>Eje 3 F-29 Caso 1</vt:lpstr>
      <vt:lpstr>Eje 3 F-29 Caso 2</vt:lpstr>
      <vt:lpstr>Ej.4 Bienes R. Art.16 y 17</vt:lpstr>
      <vt:lpstr>Eje 4.1 F-29 Arriendo</vt:lpstr>
      <vt:lpstr>Eje 4.2 F-29 Esporadico</vt:lpstr>
      <vt:lpstr>'Eje 1 F-29'!Área_de_impresión</vt:lpstr>
      <vt:lpstr>'Eje 2 F-29'!Área_de_impresión</vt:lpstr>
      <vt:lpstr>'Eje 3 F-29 Caso 1'!Área_de_impresión</vt:lpstr>
      <vt:lpstr>'Eje 3 F-29 Caso 2'!Área_de_impresión</vt:lpstr>
      <vt:lpstr>'Eje 4.1 F-29 Arriendo'!Área_de_impresión</vt:lpstr>
      <vt:lpstr>'Eje 4.2 F-29 Esporadico'!Área_de_impresión</vt:lpstr>
      <vt:lpstr>'F-29'!Área_de_impresión</vt:lpstr>
      <vt:lpstr>Indice!Área_de_impresión</vt:lpstr>
      <vt:lpstr>Portada!Área_de_impresión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Velasquez Sanchez, Antonio</dc:creator>
  <cp:keywords/>
  <dc:description/>
  <cp:lastModifiedBy>Robert Bustamante</cp:lastModifiedBy>
  <cp:revision/>
  <dcterms:created xsi:type="dcterms:W3CDTF">2021-04-03T07:31:33Z</dcterms:created>
  <dcterms:modified xsi:type="dcterms:W3CDTF">2025-04-19T20:25:31Z</dcterms:modified>
  <cp:category/>
  <cp:contentStatus/>
</cp:coreProperties>
</file>